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300" windowWidth="19440" windowHeight="12240" activeTab="0"/>
  </bookViews>
  <sheets>
    <sheet name="Planner" sheetId="1" r:id="rId1"/>
    <sheet name="Info-Tabellen" sheetId="2" r:id="rId2"/>
  </sheets>
  <definedNames>
    <definedName name="Aardbier">'Planner'!$B$5</definedName>
    <definedName name="adviessuiker">'Planner'!$B$52</definedName>
    <definedName name="Aftrokmaische">'Planner'!$L$4</definedName>
    <definedName name="alcogewicht">'Planner'!$E$49</definedName>
    <definedName name="alconalager">'Planner'!$G$51</definedName>
    <definedName name="ATNfactor">'Planner'!$H$1</definedName>
    <definedName name="Bekomenliter">'Planner'!$L$46</definedName>
    <definedName name="Botdatum">'Planner'!$K$2</definedName>
    <definedName name="botsuikervlgsalco">'Planner'!$F$49</definedName>
    <definedName name="botsuikervlgskleur">'Planner'!$L$49</definedName>
    <definedName name="bottelgist">'Planner'!$K$52</definedName>
    <definedName name="Brixratio">'Planner'!$K$24</definedName>
    <definedName name="corsuiker">'Planner'!$F$54</definedName>
    <definedName name="effic">'Planner'!$G$6</definedName>
    <definedName name="Eindcijfer">'Planner'!$L$48</definedName>
    <definedName name="Eindplato">'Planner'!$B$50</definedName>
    <definedName name="EindSG">'Planner'!$D$50</definedName>
    <definedName name="Eiwitrust">'Planner'!$E$5</definedName>
    <definedName name="Gewenste_liters">'Planner'!$B$3</definedName>
    <definedName name="gistplusbkmSG">'Planner'!$L$45</definedName>
    <definedName name="HoofdGist">'Planner'!$D$3</definedName>
    <definedName name="hop1">'Planner'!$A$36</definedName>
    <definedName name="hop2">'Planner'!$A$37</definedName>
    <definedName name="hop3">'Planner'!$A$38</definedName>
    <definedName name="hop4">'Planner'!$A$39</definedName>
    <definedName name="hop5">'Planner'!$A$40</definedName>
    <definedName name="hop6">'Planner'!$A$41</definedName>
    <definedName name="hopverlies">'Planner'!$O$43</definedName>
    <definedName name="ketelinvloed">'Planner'!$G$4</definedName>
    <definedName name="kleur">'Planner'!$F$25</definedName>
    <definedName name="Kooktijd">'Planner'!$K$4</definedName>
    <definedName name="Kruidenlijst">'Info-Tabellen'!$AD$2:$AD$100</definedName>
    <definedName name="MaischSG">'Planner'!$K$7</definedName>
    <definedName name="mashfactor">'Planner'!$G$1</definedName>
    <definedName name="mashplato">'Planner'!$J$7</definedName>
    <definedName name="mashwater">'Planner'!$B$28</definedName>
    <definedName name="meter">'Planner'!$B$46</definedName>
    <definedName name="meternadien">'Planner'!$H$48</definedName>
    <definedName name="moutkilos">'Planner'!$J$5</definedName>
    <definedName name="moutsoort">'Info-Tabellen'!$H$3:$H$327</definedName>
    <definedName name="Moutsoorten">'Info-Tabellen'!$H$2:$H$327</definedName>
    <definedName name="mouttemp">'Planner'!$B$6</definedName>
    <definedName name="nietvergist">'Planner'!$L$51</definedName>
    <definedName name="Pilsmout">'Planner'!$Y$1:$Y$41</definedName>
    <definedName name="_xlnm.Print_Area" localSheetId="0">'Planner'!$A$1:$M$67</definedName>
    <definedName name="refofhyg">'Planner'!$C$48</definedName>
    <definedName name="Restextract">'Planner'!$J$45</definedName>
    <definedName name="Stambrix">'Planner'!$G$46</definedName>
    <definedName name="Stamplato">'Planner'!$E$46</definedName>
    <definedName name="StamSG">'Planner'!$D$46</definedName>
    <definedName name="Stamwort">'Planner'!$C$46</definedName>
    <definedName name="StamwortSG">'Planner'!$K$12</definedName>
    <definedName name="Starter">'Planner'!$J$17</definedName>
    <definedName name="suikergift">'Planner'!$B$54</definedName>
    <definedName name="Suikerplato">'Planner'!$J$10</definedName>
    <definedName name="suikersoort">'Planner'!$B$53</definedName>
    <definedName name="SVGopmout">'Planner'!$I$5</definedName>
    <definedName name="SVGopsuiker">'Planner'!$O$6</definedName>
    <definedName name="tabel_gist">'Info-Tabellen'!$X$3:$X$150</definedName>
    <definedName name="tabel_hop">'Info-Tabellen'!$R$3:$R$150</definedName>
    <definedName name="tabel_kruiden">'Info-Tabellen'!$AD$3:$AD$150</definedName>
    <definedName name="Tabel_Mouten">'Info-Tabellen'!$H$3:$H$150</definedName>
    <definedName name="tabel_suikers">'Info-Tabellen'!$M$3:$M$100</definedName>
    <definedName name="tempverlies">'Planner'!$I$6</definedName>
    <definedName name="ToegevLiter">'Planner'!$H$45</definedName>
    <definedName name="Totaalkg">'Planner'!$D$25</definedName>
    <definedName name="totaalvolume">'Planner'!$L$24</definedName>
    <definedName name="totplato">'Planner'!$E$25</definedName>
    <definedName name="Vast_verlies">'Planner'!$B$4</definedName>
    <definedName name="verkookpercent">'Planner'!$H$5</definedName>
    <definedName name="verkookwater">'Planner'!$O$44</definedName>
    <definedName name="verlieswater">'Planner'!$O$46</definedName>
    <definedName name="VLeindbrix">'Planner'!$H$49</definedName>
    <definedName name="VLeindplato">'Planner'!$G$49</definedName>
    <definedName name="VLeindSG">'Planner'!$K$49</definedName>
    <definedName name="voorsp_eindplato">'Planner'!$I$25</definedName>
    <definedName name="voorsp_eindSG">'Planner'!$I$26</definedName>
    <definedName name="VSPalcogewicht">'Planner'!$L$5</definedName>
    <definedName name="VSPalcvol">'Planner'!$H$27</definedName>
    <definedName name="VSPrestextract">'Planner'!$J$24</definedName>
  </definedNames>
  <calcPr fullCalcOnLoad="1"/>
</workbook>
</file>

<file path=xl/comments1.xml><?xml version="1.0" encoding="utf-8"?>
<comments xmlns="http://schemas.openxmlformats.org/spreadsheetml/2006/main">
  <authors>
    <author/>
    <author>Ronbaert</author>
    <author>Luc</author>
  </authors>
  <commentList>
    <comment ref="H5" authorId="0">
      <text>
        <r>
          <rPr>
            <sz val="9"/>
            <color indexed="8"/>
            <rFont val="Tahoma"/>
            <family val="2"/>
          </rPr>
          <t>Afhankelijk van grootte ketel, kan van 7 tot 16 variëren (laag voor smalle, meer voor brede ketels). Opmeten bij eerste brouw.</t>
        </r>
      </text>
    </comment>
    <comment ref="G4" authorId="0">
      <text>
        <r>
          <rPr>
            <sz val="9"/>
            <color indexed="8"/>
            <rFont val="Tahoma"/>
            <family val="2"/>
          </rPr>
          <t xml:space="preserve">Ketelinvloed tussen 95 en 100 (dubbelwandig: 95, veel massa) en (100: dun, weinig warmtereserve)
</t>
        </r>
      </text>
    </comment>
    <comment ref="B4" authorId="0">
      <text>
        <r>
          <rPr>
            <sz val="9"/>
            <color indexed="8"/>
            <rFont val="Tahoma"/>
            <family val="2"/>
          </rPr>
          <t>Het aantal liter dat altijd achterblijft in de kookketel, los van wat in hopbloemen achterblijft nakoelen en aftappen naar gistvat.</t>
        </r>
      </text>
    </comment>
    <comment ref="B5" authorId="0">
      <text>
        <r>
          <rPr>
            <sz val="9"/>
            <color indexed="8"/>
            <rFont val="Tahoma"/>
            <family val="2"/>
          </rPr>
          <t>De maischcurve bepaalt de droogte of zachtheid van het bier, maar is hoe dan ook eveneens afhankelijk van gekozen gist en grondstoffen!</t>
        </r>
      </text>
    </comment>
    <comment ref="E7" authorId="0">
      <text>
        <r>
          <rPr>
            <b/>
            <sz val="8"/>
            <color indexed="8"/>
            <rFont val="Tahoma"/>
            <family val="2"/>
          </rPr>
          <t xml:space="preserve">°Plato is % Extract (in gram per 100 gram en niet in g/100 ml) !
</t>
        </r>
      </text>
    </comment>
    <comment ref="G7" authorId="0">
      <text>
        <r>
          <rPr>
            <b/>
            <sz val="8"/>
            <color indexed="8"/>
            <rFont val="Tahoma"/>
            <family val="2"/>
          </rPr>
          <t xml:space="preserve">Deze kolom is
% aandeel
in gewicht!
</t>
        </r>
      </text>
    </comment>
    <comment ref="H7" authorId="0">
      <text>
        <r>
          <rPr>
            <b/>
            <sz val="8"/>
            <color indexed="8"/>
            <rFont val="Tahoma"/>
            <family val="2"/>
          </rPr>
          <t xml:space="preserve">Deze kolom is
% aandeel in
Extract en niet
in gewicht!
</t>
        </r>
      </text>
    </comment>
    <comment ref="A19" authorId="0">
      <text>
        <r>
          <rPr>
            <sz val="8"/>
            <color indexed="8"/>
            <rFont val="Tahoma"/>
            <family val="2"/>
          </rPr>
          <t>Dit ingrediënt gaat niet in het beslag, wel in de kook-ketel, zuiver suiker heeft dus 100% extractie factor</t>
        </r>
      </text>
    </comment>
    <comment ref="A20" authorId="0">
      <text>
        <r>
          <rPr>
            <sz val="8"/>
            <color indexed="8"/>
            <rFont val="Tahoma"/>
            <family val="2"/>
          </rPr>
          <t>Dit ingrediënt gaat niet in het beslag, wel in de kook-ketel, zuiver suiker heeft dus 100% extractie factor</t>
        </r>
      </text>
    </comment>
    <comment ref="A21" authorId="0">
      <text>
        <r>
          <rPr>
            <sz val="8"/>
            <color indexed="8"/>
            <rFont val="Tahoma"/>
            <family val="2"/>
          </rPr>
          <t>Dit ingrediënt gaat niet in het beslag, wel in de kook-ketel, zuiver suiker heeft dus 100% extractie factor</t>
        </r>
      </text>
    </comment>
    <comment ref="A22" authorId="0">
      <text>
        <r>
          <rPr>
            <sz val="8"/>
            <color indexed="8"/>
            <rFont val="Tahoma"/>
            <family val="2"/>
          </rPr>
          <t>Dit ingrediënt gaat niet in het beslag, wel in de kook-ketel, zuiver suiker heeft dus 100% extractie factor</t>
        </r>
      </text>
    </comment>
    <comment ref="A24" authorId="0">
      <text>
        <r>
          <rPr>
            <b/>
            <sz val="8"/>
            <color indexed="8"/>
            <rFont val="Tahoma"/>
            <family val="2"/>
          </rPr>
          <t>Kleurstof</t>
        </r>
        <r>
          <rPr>
            <sz val="8"/>
            <color indexed="8"/>
            <rFont val="Tahoma"/>
            <family val="2"/>
          </rPr>
          <t xml:space="preserve"> toe te voegen bij einde koken (na alle hopgift) Overschrijf de opbrengst en kleur indien anders.</t>
        </r>
      </text>
    </comment>
    <comment ref="D24" authorId="0">
      <text>
        <r>
          <rPr>
            <b/>
            <sz val="8"/>
            <color indexed="8"/>
            <rFont val="Tahoma"/>
            <family val="2"/>
          </rPr>
          <t xml:space="preserve">in </t>
        </r>
        <r>
          <rPr>
            <b/>
            <u val="single"/>
            <sz val="8"/>
            <color indexed="8"/>
            <rFont val="Tahoma"/>
            <family val="2"/>
          </rPr>
          <t>gram</t>
        </r>
        <r>
          <rPr>
            <b/>
            <sz val="8"/>
            <color indexed="8"/>
            <rFont val="Tahoma"/>
            <family val="2"/>
          </rPr>
          <t xml:space="preserve">:
</t>
        </r>
        <r>
          <rPr>
            <sz val="8"/>
            <color indexed="8"/>
            <rFont val="Tahoma"/>
            <family val="2"/>
          </rPr>
          <t>1cl weegt 12,5 gram</t>
        </r>
      </text>
    </comment>
    <comment ref="E5" authorId="0">
      <text>
        <r>
          <rPr>
            <b/>
            <sz val="8"/>
            <color indexed="10"/>
            <rFont val="Tahoma"/>
            <family val="2"/>
          </rPr>
          <t>Noteer: Een eiwitrust wordt niet vaak meer toegepast.</t>
        </r>
      </text>
    </comment>
    <comment ref="L33" authorId="0">
      <text>
        <r>
          <rPr>
            <sz val="8"/>
            <color indexed="8"/>
            <rFont val="Tahoma"/>
            <family val="2"/>
          </rPr>
          <t xml:space="preserve">Nodige vermogen in killoWatt  v.b. brander
</t>
        </r>
      </text>
    </comment>
    <comment ref="B35" authorId="0">
      <text>
        <r>
          <rPr>
            <b/>
            <sz val="8"/>
            <color indexed="8"/>
            <rFont val="Tahoma"/>
            <family val="2"/>
          </rPr>
          <t xml:space="preserve">Geef op:
PELL = Pellets
BLM = Bellen (bloemen)
</t>
        </r>
        <r>
          <rPr>
            <sz val="8"/>
            <color indexed="8"/>
            <rFont val="Tahoma"/>
            <family val="2"/>
          </rPr>
          <t xml:space="preserve">
</t>
        </r>
      </text>
    </comment>
    <comment ref="E35" authorId="0">
      <text>
        <r>
          <rPr>
            <sz val="8"/>
            <color indexed="8"/>
            <rFont val="Tahoma"/>
            <family val="2"/>
          </rPr>
          <t xml:space="preserve">Tijdstip van toevoegen = minuten na start koken OF vul het woord "koud" in bij koud-hoppen (eventueel "gistvat"), en "FWH" indien </t>
        </r>
        <r>
          <rPr>
            <b/>
            <u val="single"/>
            <sz val="8"/>
            <color indexed="8"/>
            <rFont val="Tahoma"/>
            <family val="2"/>
          </rPr>
          <t>F</t>
        </r>
        <r>
          <rPr>
            <sz val="8"/>
            <color indexed="8"/>
            <rFont val="Tahoma"/>
            <family val="2"/>
          </rPr>
          <t xml:space="preserve">irst </t>
        </r>
        <r>
          <rPr>
            <b/>
            <u val="single"/>
            <sz val="8"/>
            <color indexed="8"/>
            <rFont val="Tahoma"/>
            <family val="2"/>
          </rPr>
          <t>W</t>
        </r>
        <r>
          <rPr>
            <sz val="8"/>
            <color indexed="8"/>
            <rFont val="Tahoma"/>
            <family val="2"/>
          </rPr>
          <t xml:space="preserve">ort </t>
        </r>
        <r>
          <rPr>
            <b/>
            <u val="single"/>
            <sz val="8"/>
            <color indexed="8"/>
            <rFont val="Tahoma"/>
            <family val="2"/>
          </rPr>
          <t>H</t>
        </r>
        <r>
          <rPr>
            <sz val="8"/>
            <color indexed="8"/>
            <rFont val="Tahoma"/>
            <family val="2"/>
          </rPr>
          <t>opping.</t>
        </r>
      </text>
    </comment>
    <comment ref="A42" authorId="0">
      <text>
        <r>
          <rPr>
            <b/>
            <sz val="8"/>
            <color indexed="10"/>
            <rFont val="Tahoma"/>
            <family val="2"/>
          </rPr>
          <t>TIP:</t>
        </r>
        <r>
          <rPr>
            <sz val="8"/>
            <color indexed="8"/>
            <rFont val="Tahoma"/>
            <family val="2"/>
          </rPr>
          <t xml:space="preserve"> voor 1 gram heeft u 34 druppeltjes nodig, doe eerst een smaakproef op een glas bier en reken uit.</t>
        </r>
      </text>
    </comment>
    <comment ref="C42" authorId="0">
      <text>
        <r>
          <rPr>
            <b/>
            <sz val="8"/>
            <color indexed="8"/>
            <rFont val="Tahoma"/>
            <family val="2"/>
          </rPr>
          <t xml:space="preserve">in gram, </t>
        </r>
        <r>
          <rPr>
            <b/>
            <sz val="8"/>
            <color indexed="10"/>
            <rFont val="Tahoma"/>
            <family val="2"/>
          </rPr>
          <t xml:space="preserve">1 cl is </t>
        </r>
        <r>
          <rPr>
            <b/>
            <sz val="10"/>
            <color indexed="10"/>
            <rFont val="Tahoma"/>
            <family val="2"/>
          </rPr>
          <t>±</t>
        </r>
        <r>
          <rPr>
            <b/>
            <sz val="8"/>
            <color indexed="10"/>
            <rFont val="Tahoma"/>
            <family val="2"/>
          </rPr>
          <t xml:space="preserve"> 10 g.</t>
        </r>
      </text>
    </comment>
    <comment ref="D42" authorId="0">
      <text>
        <r>
          <rPr>
            <b/>
            <sz val="8"/>
            <color indexed="8"/>
            <rFont val="Tahoma"/>
            <family val="2"/>
          </rPr>
          <t xml:space="preserve">de waarde die op het flesje staat
</t>
        </r>
      </text>
    </comment>
    <comment ref="E42" authorId="0">
      <text>
        <r>
          <rPr>
            <sz val="8"/>
            <color indexed="10"/>
            <rFont val="Tahoma"/>
            <family val="2"/>
          </rPr>
          <t>Geïsomeriseerd extract. 
Bij toevoegen bij bottelen: Nooit onder 18°C vermengen!</t>
        </r>
      </text>
    </comment>
    <comment ref="B46" authorId="0">
      <text>
        <r>
          <rPr>
            <b/>
            <sz val="9"/>
            <color indexed="8"/>
            <rFont val="Tahoma"/>
            <family val="2"/>
          </rPr>
          <t xml:space="preserve">Kies °P, Brix of SG
</t>
        </r>
      </text>
    </comment>
    <comment ref="C48" authorId="0">
      <text>
        <r>
          <rPr>
            <sz val="9"/>
            <color indexed="8"/>
            <rFont val="Tahoma"/>
            <family val="2"/>
          </rPr>
          <t>Een HYGROmeter of REFRACtometer kiezen
Klik op de pijl</t>
        </r>
      </text>
    </comment>
    <comment ref="H48" authorId="0">
      <text>
        <r>
          <rPr>
            <sz val="9"/>
            <color indexed="8"/>
            <rFont val="Tahoma"/>
            <family val="2"/>
          </rPr>
          <t xml:space="preserve">Kies °P, Brix of SG
</t>
        </r>
      </text>
    </comment>
    <comment ref="J16" authorId="1">
      <text>
        <r>
          <rPr>
            <sz val="9"/>
            <rFont val="Tahoma"/>
            <family val="2"/>
          </rPr>
          <t>Beginnen met een deel van de totaliteit en stelselmatig opschalen, begin met 10°P of SG 1040 Wort.</t>
        </r>
      </text>
    </comment>
    <comment ref="J20" authorId="1">
      <text>
        <r>
          <rPr>
            <sz val="9"/>
            <rFont val="Tahoma"/>
            <family val="2"/>
          </rPr>
          <t>U dient de korrelgist te Rehydrateren in minstens 10 x gewicht in lauw water.</t>
        </r>
      </text>
    </comment>
    <comment ref="N7" authorId="0">
      <text>
        <r>
          <rPr>
            <b/>
            <sz val="8"/>
            <color indexed="8"/>
            <rFont val="Tahoma"/>
            <family val="2"/>
          </rPr>
          <t>Deze kolom geeft de % vergist-baarheid van de gekozen grondstof, Maltotriose wordt als vergistbaar beschouwd.</t>
        </r>
      </text>
    </comment>
    <comment ref="F7" authorId="0">
      <text>
        <r>
          <rPr>
            <sz val="8"/>
            <color indexed="8"/>
            <rFont val="Tahoma"/>
            <family val="2"/>
          </rPr>
          <t>Deze kolom is
de kleur afgifte per grondstof in EBC</t>
        </r>
      </text>
    </comment>
    <comment ref="I7" authorId="0">
      <text>
        <r>
          <rPr>
            <b/>
            <sz val="8"/>
            <color indexed="8"/>
            <rFont val="Tahoma"/>
            <family val="2"/>
          </rPr>
          <t xml:space="preserve">Deze kolom is
een voorspelling van het eindSG per grondstof.
</t>
        </r>
      </text>
    </comment>
    <comment ref="A23" authorId="0">
      <text>
        <r>
          <rPr>
            <sz val="8"/>
            <color indexed="8"/>
            <rFont val="Tahoma"/>
            <family val="2"/>
          </rPr>
          <t>Dit ingrediënt gaat niet in het beslag, wel in de kook-ketel, zuiver suiker heeft dus 100% extractie factor</t>
        </r>
      </text>
    </comment>
    <comment ref="O7" authorId="0">
      <text>
        <r>
          <rPr>
            <b/>
            <sz val="8"/>
            <color indexed="8"/>
            <rFont val="Tahoma"/>
            <family val="2"/>
          </rPr>
          <t>Deze kolom geeft deschijnbare vergistingsgraad na korrectie via de gistfactor van elke grondstofsoort, alsook aftrok volgens dikte beslag.</t>
        </r>
      </text>
    </comment>
    <comment ref="K4" authorId="1">
      <text>
        <r>
          <rPr>
            <sz val="9"/>
            <rFont val="Tahoma"/>
            <family val="2"/>
          </rPr>
          <t>Minstens 60'.</t>
        </r>
        <r>
          <rPr>
            <b/>
            <sz val="9"/>
            <rFont val="Tahoma"/>
            <family val="2"/>
          </rPr>
          <t xml:space="preserve">
Beter is 70' en meer voor zwaar-dere bieren.</t>
        </r>
      </text>
    </comment>
    <comment ref="G2" authorId="0">
      <text>
        <r>
          <rPr>
            <sz val="9"/>
            <color indexed="8"/>
            <rFont val="Tahoma"/>
            <family val="2"/>
          </rPr>
          <t>Rendement van uw installatie, werkwijze, en correctie op betere en slechtere grondstoffen</t>
        </r>
      </text>
    </comment>
    <comment ref="B3" authorId="2">
      <text>
        <r>
          <rPr>
            <b/>
            <sz val="9"/>
            <rFont val="Tahoma"/>
            <family val="2"/>
          </rPr>
          <t>Het volume wort dat u net vóór het bottelen wil hebben</t>
        </r>
      </text>
    </comment>
  </commentList>
</comments>
</file>

<file path=xl/sharedStrings.xml><?xml version="1.0" encoding="utf-8"?>
<sst xmlns="http://schemas.openxmlformats.org/spreadsheetml/2006/main" count="802" uniqueCount="710">
  <si>
    <t xml:space="preserve"> &lt; Naam Bier</t>
  </si>
  <si>
    <t>Info over de gekozen gist:     Naam &gt;</t>
  </si>
  <si>
    <t>Overzicht Wijzigingen</t>
  </si>
  <si>
    <t>&lt; Type bier</t>
  </si>
  <si>
    <t>"Extract Efficiëntie" &gt;</t>
  </si>
  <si>
    <r>
      <t xml:space="preserve">Gewenste liters bier </t>
    </r>
    <r>
      <rPr>
        <b/>
        <sz val="10"/>
        <color indexed="12"/>
        <rFont val="Arial Narrow"/>
        <family val="2"/>
      </rPr>
      <t>&gt;</t>
    </r>
  </si>
  <si>
    <t>Gist &gt;&gt;</t>
  </si>
  <si>
    <t>Opkweek Westmalle(FL)</t>
  </si>
  <si>
    <t>Info over de bottelgist:          Naam &gt;</t>
  </si>
  <si>
    <t>Grondstoffen</t>
  </si>
  <si>
    <t>Opbrengst</t>
  </si>
  <si>
    <t>EBC-kleur</t>
  </si>
  <si>
    <r>
      <t xml:space="preserve">kg </t>
    </r>
    <r>
      <rPr>
        <sz val="10"/>
        <color indexed="8"/>
        <rFont val="Wingdings"/>
        <family val="0"/>
      </rPr>
      <t>â</t>
    </r>
  </si>
  <si>
    <t>°PLATO</t>
  </si>
  <si>
    <t>%Gew.</t>
  </si>
  <si>
    <t>%Stort</t>
  </si>
  <si>
    <t xml:space="preserve">  - - Kies mout of graan - -</t>
  </si>
  <si>
    <t>N</t>
  </si>
  <si>
    <r>
      <t xml:space="preserve">Info over de gekozen hopsoorten:  </t>
    </r>
    <r>
      <rPr>
        <sz val="9"/>
        <color indexed="12"/>
        <rFont val="Arial"/>
        <family val="2"/>
      </rPr>
      <t xml:space="preserve"> (A) = aroma (B) = Bitter (U) = Universeel</t>
    </r>
  </si>
  <si>
    <r>
      <t xml:space="preserve">â </t>
    </r>
    <r>
      <rPr>
        <sz val="9"/>
        <rFont val="Arial Narrow"/>
        <family val="2"/>
      </rPr>
      <t>te verwachten totaal</t>
    </r>
    <r>
      <rPr>
        <sz val="6"/>
        <rFont val="Arial Narrow"/>
        <family val="2"/>
      </rPr>
      <t xml:space="preserve"> </t>
    </r>
    <r>
      <rPr>
        <sz val="6"/>
        <rFont val="Wingdings"/>
        <family val="0"/>
      </rPr>
      <t>â</t>
    </r>
  </si>
  <si>
    <t xml:space="preserve"> - - Kies suiker of extract - -</t>
  </si>
  <si>
    <r>
      <t xml:space="preserve">Maischen </t>
    </r>
    <r>
      <rPr>
        <sz val="11"/>
        <color indexed="10"/>
        <rFont val="Wingdings"/>
        <family val="0"/>
      </rPr>
      <t></t>
    </r>
  </si>
  <si>
    <t>Totalen&gt;&gt;</t>
  </si>
  <si>
    <t>Storten in &gt;</t>
  </si>
  <si>
    <t>water van</t>
  </si>
  <si>
    <t>vol.</t>
  </si>
  <si>
    <t>bij 75°C &gt;</t>
  </si>
  <si>
    <t>Filterspoelen:  ga naar</t>
  </si>
  <si>
    <t>75..78°</t>
  </si>
  <si>
    <r>
      <t>nodige</t>
    </r>
    <r>
      <rPr>
        <sz val="10"/>
        <color indexed="10"/>
        <rFont val="Arial Narrow"/>
        <family val="2"/>
      </rPr>
      <t xml:space="preserve"> L spoelwater &gt;</t>
    </r>
  </si>
  <si>
    <t>Max.80°</t>
  </si>
  <si>
    <t>STOP spoelen bij SG</t>
  </si>
  <si>
    <t>aantal</t>
  </si>
  <si>
    <t>unit</t>
  </si>
  <si>
    <t>na…min.</t>
  </si>
  <si>
    <t>Adviezen voor de gekozen brouwzouten, kruiden, specerijen en additieven</t>
  </si>
  <si>
    <r>
      <t xml:space="preserve">Koken: </t>
    </r>
    <r>
      <rPr>
        <sz val="11"/>
        <color indexed="8"/>
        <rFont val="Arial Narrow"/>
        <family val="2"/>
      </rPr>
      <t xml:space="preserve">Kies </t>
    </r>
    <r>
      <rPr>
        <sz val="10"/>
        <color indexed="8"/>
        <rFont val="Arial Narrow"/>
        <family val="2"/>
      </rPr>
      <t>Hopsoort</t>
    </r>
    <r>
      <rPr>
        <sz val="9"/>
        <color indexed="8"/>
        <rFont val="Wingdings"/>
        <family val="0"/>
      </rPr>
      <t>â</t>
    </r>
  </si>
  <si>
    <r>
      <t>Type</t>
    </r>
    <r>
      <rPr>
        <sz val="9"/>
        <rFont val="Wingdings"/>
        <family val="0"/>
      </rPr>
      <t>â</t>
    </r>
  </si>
  <si>
    <t>aantal gram</t>
  </si>
  <si>
    <t>% alfazuur</t>
  </si>
  <si>
    <t>na…min</t>
  </si>
  <si>
    <r>
      <t>=IBU</t>
    </r>
    <r>
      <rPr>
        <sz val="9"/>
        <color indexed="10"/>
        <rFont val="Wingdings"/>
        <family val="0"/>
      </rPr>
      <t>â</t>
    </r>
  </si>
  <si>
    <t xml:space="preserve"> - - Kies additief - -</t>
  </si>
  <si>
    <t xml:space="preserve"> - - Kies hop - -</t>
  </si>
  <si>
    <t>BLM</t>
  </si>
  <si>
    <t>Geïsomeriseerd Extract  &gt;</t>
  </si>
  <si>
    <t>(Nadien)</t>
  </si>
  <si>
    <t xml:space="preserve">vast verlies &gt; </t>
  </si>
  <si>
    <t>liter</t>
  </si>
  <si>
    <t>Totaal IBU &gt;&gt;</t>
  </si>
  <si>
    <t xml:space="preserve">blijft achter &gt; </t>
  </si>
  <si>
    <t>Toegepaste T° &gt;</t>
  </si>
  <si>
    <t xml:space="preserve">verkookwater &gt; </t>
  </si>
  <si>
    <r>
      <t xml:space="preserve">Resultaten </t>
    </r>
    <r>
      <rPr>
        <b/>
        <sz val="10"/>
        <color indexed="8"/>
        <rFont val="Arial Narrow"/>
        <family val="2"/>
      </rPr>
      <t>na Koelen</t>
    </r>
    <r>
      <rPr>
        <sz val="10"/>
        <color indexed="8"/>
        <rFont val="Arial Narrow"/>
        <family val="2"/>
      </rPr>
      <t xml:space="preserve"> </t>
    </r>
    <r>
      <rPr>
        <sz val="10"/>
        <color indexed="8"/>
        <rFont val="Wingdings"/>
        <family val="0"/>
      </rPr>
      <t></t>
    </r>
  </si>
  <si>
    <r>
      <t>vul meting in</t>
    </r>
    <r>
      <rPr>
        <sz val="6"/>
        <rFont val="Wingdings"/>
        <family val="0"/>
      </rPr>
      <t>â</t>
    </r>
    <r>
      <rPr>
        <sz val="9"/>
        <rFont val="Wingdings"/>
        <family val="0"/>
      </rPr>
      <t xml:space="preserve"> </t>
    </r>
  </si>
  <si>
    <r>
      <t>â</t>
    </r>
    <r>
      <rPr>
        <sz val="8"/>
        <rFont val="Arial Narrow"/>
        <family val="2"/>
      </rPr>
      <t xml:space="preserve"> de omgerekende stamwort</t>
    </r>
    <r>
      <rPr>
        <sz val="6"/>
        <rFont val="Arial Narrow"/>
        <family val="2"/>
      </rPr>
      <t xml:space="preserve"> </t>
    </r>
    <r>
      <rPr>
        <sz val="6"/>
        <rFont val="Wingdings"/>
        <family val="0"/>
      </rPr>
      <t>âæ</t>
    </r>
  </si>
  <si>
    <t>verlieswater &gt;</t>
  </si>
  <si>
    <t>Kies een meetinstrument &gt;</t>
  </si>
  <si>
    <t>NA DE HOOFDGISTING: noteer SG of °P hevelen &gt;</t>
  </si>
  <si>
    <t>noteer de lagertemp &gt;</t>
  </si>
  <si>
    <r>
      <t>De resultaten</t>
    </r>
    <r>
      <rPr>
        <b/>
        <sz val="9"/>
        <rFont val="Arial Narrow"/>
        <family val="2"/>
      </rPr>
      <t xml:space="preserve"> vóór bottelen meet ik met &gt; </t>
    </r>
  </si>
  <si>
    <t>De aflezing van dit toestel  is in &gt;</t>
  </si>
  <si>
    <t>OF</t>
  </si>
  <si>
    <t>Bekomen echt brouwzaalrendement &gt;</t>
  </si>
  <si>
    <t>Schijnbare Vergistings Graad &gt;</t>
  </si>
  <si>
    <t xml:space="preserve">  Werkelijke Vergistings Graad &gt;</t>
  </si>
  <si>
    <t>Bottelen:</t>
  </si>
  <si>
    <t>Temperatuur hergisting &gt;</t>
  </si>
  <si>
    <t>duurtijd &gt;</t>
  </si>
  <si>
    <t>Kies suikersoort &gt; &gt;</t>
  </si>
  <si>
    <t>Kristalsuiker</t>
  </si>
  <si>
    <t>Zelf bottelsuiker opgeven? &gt;</t>
  </si>
  <si>
    <t>zo ja, geef aantal g/liter&gt;</t>
  </si>
  <si>
    <t>finaal g suiker/L Bottelen &gt;</t>
  </si>
  <si>
    <t>Suikergift &gt;</t>
  </si>
  <si>
    <t>Dan is suikergift &gt;</t>
  </si>
  <si>
    <t>Gebotteld Vol.% &gt;&gt;</t>
  </si>
  <si>
    <t>Houdbaar tot ± &gt;</t>
  </si>
  <si>
    <t>TIP: Vergelijk uw finaal S.G. met labgisting &gt; restsuikercontrole.</t>
  </si>
  <si>
    <t>Werk vooraf: Giststarter:</t>
  </si>
  <si>
    <r>
      <t>Brouwplanner:</t>
    </r>
    <r>
      <rPr>
        <sz val="9"/>
        <rFont val="Arial Narrow"/>
        <family val="2"/>
      </rPr>
      <t xml:space="preserve"> R. Baert, Reynaert Wijn &amp; Biergilde, Lokeren</t>
    </r>
  </si>
  <si>
    <t>gistvoeding</t>
  </si>
  <si>
    <t>Info: Eigenschappen van gekende bieren.</t>
  </si>
  <si>
    <t>Mouten en granen.</t>
  </si>
  <si>
    <t>Suikers &amp; extracten</t>
  </si>
  <si>
    <t>Hop</t>
  </si>
  <si>
    <t>Gisten gegevens</t>
  </si>
  <si>
    <t>Brouwzouten, Kruiden, Specerijen en extra additieven</t>
  </si>
  <si>
    <t>Naam</t>
  </si>
  <si>
    <t>Stam-wort (°Pt)</t>
  </si>
  <si>
    <t>Stam-wort (SG)</t>
  </si>
  <si>
    <t>Alc. Vol %</t>
  </si>
  <si>
    <t>EBC kleur</t>
  </si>
  <si>
    <t>IBU (EBU)</t>
  </si>
  <si>
    <t>% Op-brengst</t>
  </si>
  <si>
    <t>± Kleur EBC</t>
  </si>
  <si>
    <t>Benaming</t>
  </si>
  <si>
    <t>Gem. Alfa zuur %</t>
  </si>
  <si>
    <t>Eigenschappen</t>
  </si>
  <si>
    <t>Vervangers</t>
  </si>
  <si>
    <t>Biertype</t>
  </si>
  <si>
    <t>SVG op Mout</t>
  </si>
  <si>
    <t>SVG op Suiker</t>
  </si>
  <si>
    <t>Advies °C vergis ting</t>
  </si>
  <si>
    <t>Eigenschappen: de hier vermelde vergistngspercentages zijn benaderingen en niet aan de praktijk getoetst.</t>
  </si>
  <si>
    <t>advies</t>
  </si>
  <si>
    <t>Affligem blond</t>
  </si>
  <si>
    <t>Brewferm Blanche korrel</t>
  </si>
  <si>
    <t>Witbier, banaan/kruidnagelAromas, Hoger eindSG</t>
  </si>
  <si>
    <t>-</t>
  </si>
  <si>
    <t>Affligem Tripel</t>
  </si>
  <si>
    <t>Pilsmout 3</t>
  </si>
  <si>
    <t>Admiral (B)</t>
  </si>
  <si>
    <t>Typisch Engels aroma, universele hop. Goede vervanger voor zowel hoge alpha hop als universele hop bij het koken.</t>
  </si>
  <si>
    <t>Target, Northdown, Challenger</t>
  </si>
  <si>
    <t>Engelse Ale</t>
  </si>
  <si>
    <t>Brewferm Lager korrel</t>
  </si>
  <si>
    <t>Cleane smaak, niet zwavelig, medium eindSG</t>
  </si>
  <si>
    <t>Anijszaad</t>
  </si>
  <si>
    <t xml:space="preserve">g </t>
  </si>
  <si>
    <t>soms bij Wittekes, Max 1g per 25 liter geplet, einde koken</t>
  </si>
  <si>
    <t>Grimbergen dubbel</t>
  </si>
  <si>
    <t>Tarwemout</t>
  </si>
  <si>
    <t>Bruine (basterd)suiker</t>
  </si>
  <si>
    <t>Amarillo (U)</t>
  </si>
  <si>
    <t>Citrus, bloemig.</t>
  </si>
  <si>
    <t>Cascade, Centennial</t>
  </si>
  <si>
    <t>American ale, IPA.</t>
  </si>
  <si>
    <t>Brewferm Top korrel</t>
  </si>
  <si>
    <t>Geeftt fruitige esters.Hoger eindSG</t>
  </si>
  <si>
    <t>Ascorbinezuur</t>
  </si>
  <si>
    <t>(Ascorvit,Vit.C) voorkomt oxidatie, dosis 1g/ 30 liter beslag</t>
  </si>
  <si>
    <t>Leffe Blond</t>
  </si>
  <si>
    <t>Brewferm Whisky mout</t>
  </si>
  <si>
    <t>Bruine kandijsuiker</t>
  </si>
  <si>
    <t>Bramling Cross (A)</t>
  </si>
  <si>
    <t>Mild, fruitig aroma met iets van citrus/limoen. Heel licht zurig.</t>
  </si>
  <si>
    <t>(East) Kent Golding, WGV, evt Fuggles</t>
  </si>
  <si>
    <t>Engelse Ale, Scotch</t>
  </si>
  <si>
    <t>13…20</t>
  </si>
  <si>
    <t>Biersol</t>
  </si>
  <si>
    <t>ml</t>
  </si>
  <si>
    <t>Kiezelsol om trub beter neer te slaan 3ml/10liter direct na koken</t>
  </si>
  <si>
    <t>Maredsous 8</t>
  </si>
  <si>
    <t xml:space="preserve">Palemout 7 </t>
  </si>
  <si>
    <t>Candico donkere stroop</t>
  </si>
  <si>
    <t>Brewers Gold (A)</t>
  </si>
  <si>
    <t>Fruitig, zwarte bes, pittig. Universele bitterhop. Heeft een wat hardere bitterheid.</t>
  </si>
  <si>
    <t>Northdown, Northern brewer</t>
  </si>
  <si>
    <t>Lambiek, Duitse pils</t>
  </si>
  <si>
    <t>Danstar Diamond Lager korrel</t>
  </si>
  <si>
    <t>Lagerbier Weihenstephan stam</t>
  </si>
  <si>
    <t>Calciumchloride</t>
  </si>
  <si>
    <t>CaCl2 Geeft zachte en volmondigere smaak Max.0,2g/lit. Verlaagt pH.</t>
  </si>
  <si>
    <t>Sint-Bernardus 12</t>
  </si>
  <si>
    <t>Munich mout 15</t>
  </si>
  <si>
    <t>Dextrosepoeder (Glucose)</t>
  </si>
  <si>
    <t>Medium sterk aroma. Amerika´s meest populaire aromahop. Heeft een kenmerkend citrus- tot grapefruitkarakter.</t>
  </si>
  <si>
    <t>Centennial, Amarillo</t>
  </si>
  <si>
    <t>IPA, Am.Ale, witbier</t>
  </si>
  <si>
    <t>Danstar Munich Weizen korrel</t>
  </si>
  <si>
    <t>Zwavelig: Weizen en Chimay achtig</t>
  </si>
  <si>
    <t>Calciumsulfaat</t>
  </si>
  <si>
    <t>CaSO4 Verlaagt pH, verhoogt hopbitter, dosis zie verpakking</t>
  </si>
  <si>
    <t>St-Feuillin Tripel</t>
  </si>
  <si>
    <t>Tarwemout donker</t>
  </si>
  <si>
    <t>Honing dik</t>
  </si>
  <si>
    <t>Centennial (U)</t>
  </si>
  <si>
    <t>Medium intens met bloemige en citrusachtige trekjes</t>
  </si>
  <si>
    <t>Cascade</t>
  </si>
  <si>
    <t>Am. Ale, Am. Witbier</t>
  </si>
  <si>
    <t>Danstar Nottingham Ale korrel</t>
  </si>
  <si>
    <t>Zuivere Gist, lager à medium eindSG, Rochefortachtig</t>
  </si>
  <si>
    <t>Carafa of "Réglise"</t>
  </si>
  <si>
    <t>(Zoethoutdrop) Schuimverbeteraar, 1,5g / 10L tijdens koken</t>
  </si>
  <si>
    <t>Tripel Karmeliet</t>
  </si>
  <si>
    <t>Aromamout (Amber 50)</t>
  </si>
  <si>
    <t>Honing vloeibaar</t>
  </si>
  <si>
    <t>Challenger (U)</t>
  </si>
  <si>
    <t>Mild tot matig intens, behoorlijk pittig. Een alternatief voor East Kent Golding, maar iets bitterder.</t>
  </si>
  <si>
    <t>(Hallertauer) Perle, Northern Brewer</t>
  </si>
  <si>
    <t>Eng.ale, stout, bitters.</t>
  </si>
  <si>
    <t>Danstar Windsor Ale korrel</t>
  </si>
  <si>
    <t>Zuivere Neutrale gist, hoger eind SG goede bottelgist</t>
  </si>
  <si>
    <t>Cardemom</t>
  </si>
  <si>
    <t>pit</t>
  </si>
  <si>
    <t>bij Wittekes, Binnenste van 1 gepelde pit per 20 liter einde koken</t>
  </si>
  <si>
    <t>Chimay Rood</t>
  </si>
  <si>
    <t>Biscuit mout 50</t>
  </si>
  <si>
    <t>EastKent Golding (A)</t>
  </si>
  <si>
    <t>De fijnste aromahop met engels karakter</t>
  </si>
  <si>
    <t>First Gold, ev. Fuggles.</t>
  </si>
  <si>
    <t>Eng. En Belg. Ale</t>
  </si>
  <si>
    <t>Fermentis S-04 korrel</t>
  </si>
  <si>
    <t>Neutraal, gemiddeld, zeer goede sedimentatie.</t>
  </si>
  <si>
    <t>Curaçaoschil/bitter</t>
  </si>
  <si>
    <t>geeft sterk  sinaas aroma + bitter tot 1g / 10 liter</t>
  </si>
  <si>
    <t>Chimay Wit</t>
  </si>
  <si>
    <t>CaraPils (Cara 20)</t>
  </si>
  <si>
    <t>Luikse perensiroop</t>
  </si>
  <si>
    <t>First Gold (U)</t>
  </si>
  <si>
    <t>Uitgebalanceerde bitterheid, fruitig, iets pikant. Een beetje als Kent Golding (zacht, aangenaam, geurig) maar wat pittiger.</t>
  </si>
  <si>
    <t>(East) Kent Gold, ev Fuggles.</t>
  </si>
  <si>
    <t>Fermentis S-33 korrel</t>
  </si>
  <si>
    <t>Zeer esterig, Zoet.</t>
  </si>
  <si>
    <t>Fosforzuur 85%</t>
  </si>
  <si>
    <t>Voor aanzuren beslag, spoelwater en gekookt wort.</t>
  </si>
  <si>
    <t>Chimay Blauw</t>
  </si>
  <si>
    <t>CaraVienne (Cara 50)</t>
  </si>
  <si>
    <t>Rietsuiker (bijv. Candico)</t>
  </si>
  <si>
    <t>Fuggles (A)</t>
  </si>
  <si>
    <t>Mild en aangenaam, gronderig, fruitig. Typisch Engelse hopsmaak. Geeft bier een rond en vol karakter.</t>
  </si>
  <si>
    <t>Styrian Golding, Tettnanger, Willamette</t>
  </si>
  <si>
    <t>Alle bieren.</t>
  </si>
  <si>
    <t>Fermentis Saflager S-23  korrel</t>
  </si>
  <si>
    <t>Lagerbier, tamelijk fruitig.</t>
  </si>
  <si>
    <t>Gagel, gedroogd</t>
  </si>
  <si>
    <t>Natuurlijk bittermiddel dosis=? Gebruik best samen met hop.</t>
  </si>
  <si>
    <t>Orval</t>
  </si>
  <si>
    <t>CaraMunich (Cara 120)</t>
  </si>
  <si>
    <t>Stroop (NL)</t>
  </si>
  <si>
    <t>Hallertau Hersbrücker (A)</t>
  </si>
  <si>
    <t>Duitslands meest gebruikte aromahop met een fantastisch en kruidig aroma.</t>
  </si>
  <si>
    <t>Hallertau Mittelfrüh, Strisselspalt</t>
  </si>
  <si>
    <t>Bock, Lager, Ale,  Lambiek</t>
  </si>
  <si>
    <t>Fermentis T-58  korrel</t>
  </si>
  <si>
    <t>Fruitig, kruidig, goede hergister</t>
  </si>
  <si>
    <t>gedroogde citroenschil</t>
  </si>
  <si>
    <t>geeft citrusaroma tot 1g / 10 liter</t>
  </si>
  <si>
    <t>Rochefort 6</t>
  </si>
  <si>
    <t>Aromamout (Amber 150)</t>
  </si>
  <si>
    <t>Hallertau Spalt Select (A)</t>
  </si>
  <si>
    <t>Duitse aromahop met licht kruidig karakter. Goed alternatief voor de Franse Spalt</t>
  </si>
  <si>
    <t>Saaz, Tettnanger, Spalt, Hersbrücker</t>
  </si>
  <si>
    <t>Duitse lagers, Pils</t>
  </si>
  <si>
    <t>Fermentis US-05 korrel</t>
  </si>
  <si>
    <t>Universeel, krachtig, bier verbleekt.</t>
  </si>
  <si>
    <t>gedroogde sinaasschil</t>
  </si>
  <si>
    <t>geeft aangenaam aroma Ongeveer 2g / 10 liter</t>
  </si>
  <si>
    <t>Rochefort 8</t>
  </si>
  <si>
    <t>Special B (Cara 400)</t>
  </si>
  <si>
    <t>Hallertauer Mittelfrüh (A)</t>
  </si>
  <si>
    <t>Mild en aangenaam. Zacht aroma, gemiddelde bitterheid.</t>
  </si>
  <si>
    <t>Hallertauer Tradition</t>
  </si>
  <si>
    <t>Pils, Lager, Witbier, Trappist.</t>
  </si>
  <si>
    <t>Fermentis W34-70 korrel</t>
  </si>
  <si>
    <t>Lagerbier, zuvere cultuur</t>
  </si>
  <si>
    <t>Gemberwortel</t>
  </si>
  <si>
    <t>Max 2g /10 liter</t>
  </si>
  <si>
    <t>Rochefort 10</t>
  </si>
  <si>
    <t>Chocolademout (Mout roost 900)</t>
  </si>
  <si>
    <t>Hallertauer Perle (U)</t>
  </si>
  <si>
    <t>Matig intens goed en hoppig aroma, fruitig, beetje pittig. Goede combinatie van uitgebalanceerde bitterheid en goede aroma eigenschappen.</t>
  </si>
  <si>
    <t xml:space="preserve">Northern Brewer, Perle </t>
  </si>
  <si>
    <t>Fermentis WB-06 korrel</t>
  </si>
  <si>
    <t>Voor Weizen &amp; Chimay</t>
  </si>
  <si>
    <t>Hoparoma</t>
  </si>
  <si>
    <t>Diverse aroma's Max 1ml/10liter vóór bottelen.</t>
  </si>
  <si>
    <t>Westmalle Dubbel</t>
  </si>
  <si>
    <t>Black 1400</t>
  </si>
  <si>
    <t>Moutextract poeder Amber</t>
  </si>
  <si>
    <t>Hallertauer Tradition (A)</t>
  </si>
  <si>
    <t>Zacht aroma, gemiddelde bitterheid. Bekend om zijn aromatische eigenschappen. Lijkt veel op Hallertauer Mittelfrüh.</t>
  </si>
  <si>
    <t>Hallertauer Mittelfrüh, Hersbrücker</t>
  </si>
  <si>
    <t>Lager, weizen, trappist, wit.</t>
  </si>
  <si>
    <t>Mauribrew Ale korrel</t>
  </si>
  <si>
    <t>?</t>
  </si>
  <si>
    <t>Australische Ale. Data nog onbekend</t>
  </si>
  <si>
    <t>Iers mos</t>
  </si>
  <si>
    <t>Westmalle Tripel</t>
  </si>
  <si>
    <t>Boekweitvlokken</t>
  </si>
  <si>
    <t>Moutextract poeder Black</t>
  </si>
  <si>
    <t>Hallert.Hersbrücker (A)</t>
  </si>
  <si>
    <t>Mild tot redelijk sterk aroma, aangenaam hoppig en kruidig.</t>
  </si>
  <si>
    <t>Halllertau Mittelfrüh, Strissenspalt</t>
  </si>
  <si>
    <t>Zie Hallertau mittelfrüh</t>
  </si>
  <si>
    <t>Mauribrew Lager korrel</t>
  </si>
  <si>
    <t>Australische Lager.  Data nog onbekend</t>
  </si>
  <si>
    <t>Jeneverbes (Juniperus)</t>
  </si>
  <si>
    <t>1 g / 10 liter einde koken, voor X-Mass &amp; Scottch like Ales</t>
  </si>
  <si>
    <t>Westvleteren Blond</t>
  </si>
  <si>
    <t>Maisvlokken</t>
  </si>
  <si>
    <t>Moutextract poeder Donker</t>
  </si>
  <si>
    <t>Lublin (Polen) (A)</t>
  </si>
  <si>
    <t>Mild intens aroma, pikant, kruidig.Typische "edele" aromahop</t>
  </si>
  <si>
    <t>Saaz, Tettnanger ev Fuggles</t>
  </si>
  <si>
    <t>Belgische ales, bitter</t>
  </si>
  <si>
    <t>Mauribrew Weiss korrel</t>
  </si>
  <si>
    <t>Australische Weizen. Data nog onbekend</t>
  </si>
  <si>
    <t>Kaneelstokje</t>
  </si>
  <si>
    <t>stuk</t>
  </si>
  <si>
    <t>Wodt soms in X-Mass ales gedaan 1 medium stok / 30 liter</t>
  </si>
  <si>
    <t>Westvleteren 8</t>
  </si>
  <si>
    <t>Rijstvlokken</t>
  </si>
  <si>
    <t>Moutextract poeder licht</t>
  </si>
  <si>
    <t>Magnum (Hallertau M.) (B)</t>
  </si>
  <si>
    <t>Aangenaam maar niet uitgesproken aroma voor bieren met een "clean" karakter</t>
  </si>
  <si>
    <t>Columbus, Nugget</t>
  </si>
  <si>
    <t>Lagerbieren, stout, ales</t>
  </si>
  <si>
    <t>Opkweek Brigand (FL)</t>
  </si>
  <si>
    <t>Hard, droog</t>
  </si>
  <si>
    <t>Karwijzaad, gemalen</t>
  </si>
  <si>
    <t>1 g / 10 liter einde koken, geeft Achouffe aroma's</t>
  </si>
  <si>
    <t>Westvleteren 12</t>
  </si>
  <si>
    <t>Havervlokken / havermout</t>
  </si>
  <si>
    <t>Moutextract poeder Tarwe</t>
  </si>
  <si>
    <t>Merkur (B)</t>
  </si>
  <si>
    <t>Nieuwe bitterhop, fijner aroma dan Magnum</t>
  </si>
  <si>
    <t>Magnum</t>
  </si>
  <si>
    <t>Opkweek Duvel (FL.)</t>
  </si>
  <si>
    <t>Zeer geschikt vr hergisting (plakt)</t>
  </si>
  <si>
    <t>Komijnzaad, gemalen</t>
  </si>
  <si>
    <t>Achouffe</t>
  </si>
  <si>
    <t>Gerstvlokken</t>
  </si>
  <si>
    <t>Millennium (B)</t>
  </si>
  <si>
    <t>Pikant en kruidig</t>
  </si>
  <si>
    <t>Nugget, Columbus</t>
  </si>
  <si>
    <t>Ales, stout, barley wine</t>
  </si>
  <si>
    <t>Opkweek Hopus (FL)</t>
  </si>
  <si>
    <t>Fruitige gist</t>
  </si>
  <si>
    <t>Koriander</t>
  </si>
  <si>
    <t>licht gemalen of gebroken zaden tot Max 15 g / hectoliter</t>
  </si>
  <si>
    <t>Adelscott au Whisky malt</t>
  </si>
  <si>
    <t>Roggevlokken</t>
  </si>
  <si>
    <t>Northern Brewer (B)</t>
  </si>
  <si>
    <t>Universele hop, gebruikt als bitterhop. Wordt in donkere bieren gebruikt, De hopbellen zijn van nature wat bruiner.</t>
  </si>
  <si>
    <t>Brewer's Gold.</t>
  </si>
  <si>
    <t>ESB, bitter, Engelse pale ale..</t>
  </si>
  <si>
    <t>Opkweek Orval (FL)</t>
  </si>
  <si>
    <t>Ver doorgistend (bevat Brettanomyces!)</t>
  </si>
  <si>
    <t>Kruidnagel</t>
  </si>
  <si>
    <t>1 per 30 liter einde koken, voor X-Mass &amp; Scottch like Ales</t>
  </si>
  <si>
    <t>Bass Pale-Ale</t>
  </si>
  <si>
    <t>Tarwevlokken</t>
  </si>
  <si>
    <t>Nugget (Duitsland) (B)</t>
  </si>
  <si>
    <t>Matig sterk, kruidig aroma Als Nugget (USA), maar met iets lagere alpha waarden</t>
  </si>
  <si>
    <t>Nugget USA, ev. Magnum</t>
  </si>
  <si>
    <t>ales, stout, barley wine</t>
  </si>
  <si>
    <t>Opkweek Rochefort10 (FL)</t>
  </si>
  <si>
    <t>Zacht en aangenaam</t>
  </si>
  <si>
    <t>Magnesiumsulfaat</t>
  </si>
  <si>
    <t>MgSO4 maakt uw bier harder (zie Burton-onTrent) 1g/10 liter</t>
  </si>
  <si>
    <t>Bittburger Pils</t>
  </si>
  <si>
    <t>Bruine rijst</t>
  </si>
  <si>
    <t>Perle (Duitsland) (A)</t>
  </si>
  <si>
    <t>Matig intens, hoppig aroma, fruitig, pittig. Goede combinatie v. uitgebalanceerde bitterheid &amp; aroma eigenschappen.</t>
  </si>
  <si>
    <t>Hall. Perle</t>
  </si>
  <si>
    <t>pale ale, porter, stout, wit</t>
  </si>
  <si>
    <t>Gekend, krachtig, gisting kan fruitig ruiken.</t>
  </si>
  <si>
    <t>Melkzuur (Lactol)</t>
  </si>
  <si>
    <t>Meestal van 80% Voor aanzuren beslag, spoelwater en gekookt wort.</t>
  </si>
  <si>
    <t>Cantillon Geueze</t>
  </si>
  <si>
    <t>Geroosterde gerst</t>
  </si>
  <si>
    <t>Phoenix (B)</t>
  </si>
  <si>
    <t>Mild tot matig intens, pikant aroma.</t>
  </si>
  <si>
    <t>(East) Kent Golding, Challenger</t>
  </si>
  <si>
    <t>ales, stout, porter, ESB, bitter</t>
  </si>
  <si>
    <t>z.spec</t>
  </si>
  <si>
    <t>Steranijs</t>
  </si>
  <si>
    <t>bij Wittekes, Max 1gemalen pit per 25 liter einde koken</t>
  </si>
  <si>
    <t>Courage BulldogStrongAle</t>
  </si>
  <si>
    <t>Weyermann Speltmout</t>
  </si>
  <si>
    <t>Pioneer (U)</t>
  </si>
  <si>
    <t>Zacht, typisch Engels aroma.</t>
  </si>
  <si>
    <t>(East) Kent Golding</t>
  </si>
  <si>
    <t>Engelse ales, ESB, bitter.</t>
  </si>
  <si>
    <t>Opkweek Chimay (FL)</t>
  </si>
  <si>
    <t>Weizenachtig, zwavelig</t>
  </si>
  <si>
    <t>Vanille lint</t>
  </si>
  <si>
    <t>cm</t>
  </si>
  <si>
    <t>stukje van 6 cm / 100 liter geeft houten vat toets</t>
  </si>
  <si>
    <t>De Koninck Ale</t>
  </si>
  <si>
    <t>Weyermann Tarwemout licht</t>
  </si>
  <si>
    <t>Premiant (U)</t>
  </si>
  <si>
    <t>Nieuwe bittere Saaz variant</t>
  </si>
  <si>
    <t>Saaz</t>
  </si>
  <si>
    <t>Lagers &amp; ales</t>
  </si>
  <si>
    <t>Schuine Buis Gevallen Engel</t>
  </si>
  <si>
    <t>Voor Duvel hoofdgist</t>
  </si>
  <si>
    <t>Wyeast Nutrient blend</t>
  </si>
  <si>
    <t>Gistvoeding, 1 g /10 liter gekoeld wort</t>
  </si>
  <si>
    <t>De Koninck Blond</t>
  </si>
  <si>
    <t>Weyermann CaraPils</t>
  </si>
  <si>
    <t>Record (U)</t>
  </si>
  <si>
    <t>Belgische hop, fruitig</t>
  </si>
  <si>
    <t>mengsel North Brw met Brewers Gold</t>
  </si>
  <si>
    <t>Belgische Ales</t>
  </si>
  <si>
    <t xml:space="preserve">Schuine Buis Hapkin </t>
  </si>
  <si>
    <t>Hapkin like, iets volmondiger dan Duvel</t>
  </si>
  <si>
    <t>Zinksulfaat</t>
  </si>
  <si>
    <r>
      <t>Sporenelement</t>
    </r>
    <r>
      <rPr>
        <u val="single"/>
        <sz val="9"/>
        <color indexed="10"/>
        <rFont val="Arial"/>
        <family val="2"/>
      </rPr>
      <t xml:space="preserve"> IN GISTSTARTER TE DOEN!</t>
    </r>
    <r>
      <rPr>
        <sz val="9"/>
        <color indexed="8"/>
        <rFont val="Arial"/>
        <family val="2"/>
      </rPr>
      <t>, 0,5 g / hectoliter wort</t>
    </r>
  </si>
  <si>
    <t>Caledonian Edingburgh strong ale</t>
  </si>
  <si>
    <t>Weyermann Rauchmalz</t>
  </si>
  <si>
    <t>Saaz CZ  (A)</t>
  </si>
  <si>
    <t xml:space="preserve">Koning van de pilshop. De enige hop die gebruikt wordt in het oorspronkelijke pils ter wereld: Pilsner Urquell. </t>
  </si>
  <si>
    <t>Lublin, ev. Spalt</t>
  </si>
  <si>
    <t>Pils, Belgische ales,  Lambiek</t>
  </si>
  <si>
    <t>Schuine Buis Kabouter</t>
  </si>
  <si>
    <t>Voor Achouffe-like, kruidig</t>
  </si>
  <si>
    <t>Duvel</t>
  </si>
  <si>
    <t>Weyermann Roggemout</t>
  </si>
  <si>
    <t>Spalt  (A)</t>
  </si>
  <si>
    <t>Mild en aangenaam, ietsje pittig. Vergelijkbaar met Tettnanger, "edele" aromahop</t>
  </si>
  <si>
    <t>Saaz, Tettnanger, Strisselspalt.</t>
  </si>
  <si>
    <t>Ales en Lagers</t>
  </si>
  <si>
    <t>1007 German Ale</t>
  </si>
  <si>
    <t>Droog en verfrissend, complex &amp; zacht</t>
  </si>
  <si>
    <t>Einbecker Hell</t>
  </si>
  <si>
    <t>Weyermann Sauermalz pH 3,5</t>
  </si>
  <si>
    <t>Spalt Select (A)</t>
  </si>
  <si>
    <t>Nog intenser dan Spalt</t>
  </si>
  <si>
    <t>Spalt</t>
  </si>
  <si>
    <t>Ales en lagers</t>
  </si>
  <si>
    <t>1010 American Wheat</t>
  </si>
  <si>
    <t>Droog, verfrissend en lichtzurig</t>
  </si>
  <si>
    <t>Erdinger Hefe Weissbier</t>
  </si>
  <si>
    <t>Weyermann Viennamout</t>
  </si>
  <si>
    <t>Strisselspalt (A)</t>
  </si>
  <si>
    <t>Medium intens, zeer aangenaam, fijn en hoppig. Frankrijk.</t>
  </si>
  <si>
    <t>Hersbrücker, ev. Hallertau Mittelfrûh</t>
  </si>
  <si>
    <t>Pils, Lager, Witbier.</t>
  </si>
  <si>
    <t>1028 London Ale</t>
  </si>
  <si>
    <t>Rijk, droge afdronk. Dorstlessend &amp; fruitig</t>
  </si>
  <si>
    <t>Grölsch Lager</t>
  </si>
  <si>
    <t>Weyermann Tarwemout donker</t>
  </si>
  <si>
    <t>Styrian Golding (A)</t>
  </si>
  <si>
    <t>Delicaat, iets pikant en grasachtig/bloemig. Zeer populair vanwege karakteristieke aroma en gemiddelde alpha waarden</t>
  </si>
  <si>
    <t>Fuggles</t>
  </si>
  <si>
    <t>Ales, Pils, lager.</t>
  </si>
  <si>
    <t>1056 American Ale</t>
  </si>
  <si>
    <t>Droog met zachte afdronk, evenwichtig</t>
  </si>
  <si>
    <t>Guinnes draft (vat)</t>
  </si>
  <si>
    <t>Weyermann CaraHell</t>
  </si>
  <si>
    <t>Target (U)</t>
  </si>
  <si>
    <t>Zeer goede Engelse bitterhop met aangenaam aroma. Redelijk intens aroma, zeer hoge bitterwaarden.</t>
  </si>
  <si>
    <t>Fuggle met Northern Brewer</t>
  </si>
  <si>
    <t>1084 Irish Ale (Guinness)</t>
  </si>
  <si>
    <t>Licht moutig, fruitig, beetje diacetyl.</t>
  </si>
  <si>
    <t>Guinnes extra stout</t>
  </si>
  <si>
    <t>Weyermann CaraRed</t>
  </si>
  <si>
    <t>Tettnanger (A)</t>
  </si>
  <si>
    <t>Zeer nobele Duitse aromahop, veel gebruikt bij lagerbieren. Heeft een mild, kruidig aroma en een fijne, delicate smaak.</t>
  </si>
  <si>
    <t>Spalt, Spalt Select, Hersbrücker</t>
  </si>
  <si>
    <t>Pils, Weizen, Wit, Trappist.</t>
  </si>
  <si>
    <t>1098 Britisch Ale</t>
  </si>
  <si>
    <t>Droog, verfrissend, lichtzurig, fruitig, evenwichtig</t>
  </si>
  <si>
    <t>Heller Kölsch</t>
  </si>
  <si>
    <t>Weyermann CaraAmber</t>
  </si>
  <si>
    <t>Tradition (Duits) (A)</t>
  </si>
  <si>
    <t>Zacht aroma, gemiddelde bitterheid. Zeer subtiel, lijkt veel op Mittelfrüh.</t>
  </si>
  <si>
    <t>Hersbrücker, Hallertauer Mittelfrüh</t>
  </si>
  <si>
    <t>Pils, weizen, wit.</t>
  </si>
  <si>
    <t xml:space="preserve">1099 Whitbread Ale         </t>
  </si>
  <si>
    <t>Zachtmoutig, lichtfruitig vergistprofiel. Minder zurig en droog dan de 1098</t>
  </si>
  <si>
    <t>Hoegaarden Wit</t>
  </si>
  <si>
    <t>Weyermann Melanoidin mout</t>
  </si>
  <si>
    <t>WGV (WhitbreadGoldingVar./U)</t>
  </si>
  <si>
    <t>Aangenaam en hoppig aroma met een gemiddelde intensiteit.</t>
  </si>
  <si>
    <t>Engelse ales.</t>
  </si>
  <si>
    <t>1187 Ringwood Ale</t>
  </si>
  <si>
    <t>Fruitesters, moutig, hoge uitvlokking, Diacetylrust nodig.</t>
  </si>
  <si>
    <t>Jupiler</t>
  </si>
  <si>
    <t>Weyermann Chocolate Ontbitterd</t>
  </si>
  <si>
    <t>Willamette (A)</t>
  </si>
  <si>
    <t>Mild en aangenaam, iets pikant, fruitig, bloemig, iets gronderig.</t>
  </si>
  <si>
    <t>Fuggle, Tettnanger, Styrian Golding.</t>
  </si>
  <si>
    <t>Engelse ales, APA, brown ale.</t>
  </si>
  <si>
    <t xml:space="preserve">1214 Belgian Abbey       </t>
  </si>
  <si>
    <t>Esterig, fruitig, droog zurige afdronk / Chimay</t>
  </si>
  <si>
    <t>Liefmans Goudenband</t>
  </si>
  <si>
    <t>WeyermannTarwemout Roost 900</t>
  </si>
  <si>
    <t>Yeoman (U)</t>
  </si>
  <si>
    <t>Bitterhop met aangenaam zacht aroma. Ook voor maken van bitterconcentraten/extracten.</t>
  </si>
  <si>
    <t>Target, Admiral, Phoenix</t>
  </si>
  <si>
    <t>Lagerbieren</t>
  </si>
  <si>
    <t>1272 All American Ale</t>
  </si>
  <si>
    <t>Fruitig, vlokt meer uit dan 1056, zurige afdronk</t>
  </si>
  <si>
    <t>Liefmans Kriek</t>
  </si>
  <si>
    <t>Weyermann Black ontbitterd</t>
  </si>
  <si>
    <t>1275 Thames valey Ale</t>
  </si>
  <si>
    <t>Voor Britse Bitters</t>
  </si>
  <si>
    <t>Löwenbräu special export</t>
  </si>
  <si>
    <t>1318 London Ale III</t>
  </si>
  <si>
    <t>Tradirionele engelse ale, moutig en hoppig</t>
  </si>
  <si>
    <t>Lutèce - Bière de Paris</t>
  </si>
  <si>
    <t>1335 Britisch Ale II</t>
  </si>
  <si>
    <t>Britse &amp; Canadese ales, Moutig</t>
  </si>
  <si>
    <t>Malheur 10</t>
  </si>
  <si>
    <t>1338 European Ale</t>
  </si>
  <si>
    <t>Munchener ale, zeer moutig, dicht stevig schuim</t>
  </si>
  <si>
    <t>Mousel premium pils</t>
  </si>
  <si>
    <t xml:space="preserve">1388 Belgian Strong Ale    </t>
  </si>
  <si>
    <t>Newcastle Brown Ale</t>
  </si>
  <si>
    <t>1728 Scottish Ale</t>
  </si>
  <si>
    <t>Mc Ewans</t>
  </si>
  <si>
    <t>Oerbier</t>
  </si>
  <si>
    <t>1762 Belgian Abbey II</t>
  </si>
  <si>
    <t>Gist voor hoogSG, verwarmend door de ethanol. Lichtfruitig &amp; droog (Rochefort)</t>
  </si>
  <si>
    <t>Oktoberfest Märzen (Spat)</t>
  </si>
  <si>
    <t>1968 London ESB Ale</t>
  </si>
  <si>
    <t>Zeer moutig, evenwichtig fruitig, zeer hoge uitvlokking voor Cask conditioned ales</t>
  </si>
  <si>
    <t>Paulaner Salvator Dobbelbock</t>
  </si>
  <si>
    <t>2000 Budvar Lager</t>
  </si>
  <si>
    <t>Moutig, licht fruitige lager</t>
  </si>
  <si>
    <t>Pilsner Urquell</t>
  </si>
  <si>
    <t>2001 Pilsner Urquell Lager</t>
  </si>
  <si>
    <t xml:space="preserve"> DE PILS! Mild fruit &amp; bloemenaroma.</t>
  </si>
  <si>
    <t>Pinkus Hefe Weizen</t>
  </si>
  <si>
    <t>2007 Pilsen Lager</t>
  </si>
  <si>
    <t>Zacht moutig palet. Droog/verfrissend (Budweiser)</t>
  </si>
  <si>
    <t>Rodenbach</t>
  </si>
  <si>
    <t>2035 American Lager</t>
  </si>
  <si>
    <t>Sterk, complex en aromatisch</t>
  </si>
  <si>
    <t>Rodenbach Grand Cru</t>
  </si>
  <si>
    <t>2042 Danish Lager (Carlsberg)</t>
  </si>
  <si>
    <t>Rijk, Dortmundstijl verfrissend droge afdronk.</t>
  </si>
  <si>
    <t>Saint-Arnould réserve</t>
  </si>
  <si>
    <t>2112 Californian Lager</t>
  </si>
  <si>
    <t>Moutige en kristalhelder bier</t>
  </si>
  <si>
    <t>Saint-Silvestre 3m</t>
  </si>
  <si>
    <t>2124 Bohemian Lager</t>
  </si>
  <si>
    <t>Clean en moutig. / Weihenstephan 34/70</t>
  </si>
  <si>
    <t>2206 Bavarian Lager</t>
  </si>
  <si>
    <t>Gebruikt in veel Duitse brouwerijen, Weihenstephan 206.</t>
  </si>
  <si>
    <t xml:space="preserve">2278 Czech Pils            </t>
  </si>
  <si>
    <t>Droog en moutige afdronk / Pilsner Urquel-D</t>
  </si>
  <si>
    <t xml:space="preserve">2308 Munich Lager          </t>
  </si>
  <si>
    <t>Zeer aangenaam zacht goede stevigheid en vol van smaak</t>
  </si>
  <si>
    <t>3056 Bavarian Wheat Blend</t>
  </si>
  <si>
    <t>Voor zachte, esterige en fenolische Weizenbieren</t>
  </si>
  <si>
    <t>3068 Weihenstephan Weizen</t>
  </si>
  <si>
    <t>Unieke bovengist: kruidige WEIZEN, karakter maakt rijk met kruidnagel vanille en banaan.</t>
  </si>
  <si>
    <t xml:space="preserve">3333 German Wheat          </t>
  </si>
  <si>
    <t>Subtiel smaakprofiel voor een tarwebiergist met scherpzurige frisheid fruitig kersachtig palet.</t>
  </si>
  <si>
    <t>3463 Forbidden Fruit Yeast</t>
  </si>
  <si>
    <t>Fenolisch profiel met een achtergrond van fruitigheid. / Verboden Vrucht</t>
  </si>
  <si>
    <t>3522 Belgian Ardennes</t>
  </si>
  <si>
    <t>Fenolen zorgen voor een zachtfruitigheid en een complexe kruidigheid / Achouffe</t>
  </si>
  <si>
    <t>3538 Leuven Pale Ale</t>
  </si>
  <si>
    <t>Licht fenolig en kruidig aromatisch karakter. / Corsendonck Bock</t>
  </si>
  <si>
    <t>3638 Bavarian Wheat</t>
  </si>
  <si>
    <t>Evenwicht tussen banaan en kauwgom - esters o.a. van litchee appel, pruim. Kruidnagel. / Weihenstephan 175</t>
  </si>
  <si>
    <t>3655 Schelde Ale</t>
  </si>
  <si>
    <t>Een fruitig aroma. / Bolleke De Koninck.</t>
  </si>
  <si>
    <t>3711 French Saison</t>
  </si>
  <si>
    <t>20..30</t>
  </si>
  <si>
    <t>Zeer droog kruidig en licht zurig profiel met esterig aroma. Rijk mondgevoel</t>
  </si>
  <si>
    <t>3724 Belgian Saison</t>
  </si>
  <si>
    <t>21..29</t>
  </si>
  <si>
    <t>Zeer droog kruidig en licht zurig profiel met esterig aroma. / Saison Dupont / trage vergisting</t>
  </si>
  <si>
    <t xml:space="preserve">3725 Biere de Garde        </t>
  </si>
  <si>
    <t>Laag à gemiddelde esterproductie, lichte kruidigheid.</t>
  </si>
  <si>
    <t>3763 Roeselare Blend</t>
  </si>
  <si>
    <t>Vlaams oud bruin à la Rodenbach, moet lang rijpen, tot 18 maand</t>
  </si>
  <si>
    <t xml:space="preserve">3787 Trappist High Gravity </t>
  </si>
  <si>
    <t xml:space="preserve">3942 Belgian Witbier       </t>
  </si>
  <si>
    <t>Esterig en fenolisch, appels &amp; pruimen in de neus. Droog.</t>
  </si>
  <si>
    <t xml:space="preserve">3944 Belgian Witbier (Celis)     </t>
  </si>
  <si>
    <t>Zurig en licht fenolisch karakter / Hoegaarden / Celis White</t>
  </si>
  <si>
    <t xml:space="preserve">5112 Brettan. Bruxellensis </t>
  </si>
  <si>
    <t>Produceert klassieke lambic karakteristieken zoals zuur en zweterig paardehaar. / Lambiekcultuur</t>
  </si>
  <si>
    <t>Champagnegisten</t>
  </si>
  <si>
    <t>Afgeraden als bottelgist, is wel OK om zwaar bier na hoofdgisting dmv suiker op te krikken</t>
  </si>
  <si>
    <t xml:space="preserve">  Tip: pas jaarlijks de alfazuren van de hop aan, zodra je de nieuwe hopsoorten binnen hebt</t>
  </si>
  <si>
    <t>bitterhop+aroma: Passievrucht, abrikoos + intens houtaroma. Fris en complex</t>
  </si>
  <si>
    <t>Amarillo, Cascade, Centennial (mengsel)</t>
  </si>
  <si>
    <t>Bittere fruitige bieren</t>
  </si>
  <si>
    <t>Simcou (U)</t>
  </si>
  <si>
    <t>Noteer: Het uitgegist bier moet helder zijn voor een Refractometer-meting!</t>
  </si>
  <si>
    <r>
      <t xml:space="preserve">Noteer: </t>
    </r>
    <r>
      <rPr>
        <b/>
        <sz val="9"/>
        <rFont val="Arial Narrow"/>
        <family val="2"/>
      </rPr>
      <t>FWH</t>
    </r>
    <r>
      <rPr>
        <sz val="9"/>
        <rFont val="Arial Narrow"/>
        <family val="2"/>
      </rPr>
      <t>= First Wort Hopping = als het gefilterd wort ongeveer 95° heeft, tot net vóór koken toevoegen.</t>
    </r>
  </si>
  <si>
    <t>Whisky Malt</t>
  </si>
  <si>
    <t>Zeer fruitig, perzik, abrikoos, passievrucht, grapefruit, limoen, meloen, kruisbes, lychee, ananas, mango, papaya en andere tropische vruchten smaken en aroma's</t>
  </si>
  <si>
    <t>Simcoe, en andere fruitige citrus „C” hop</t>
  </si>
  <si>
    <t>Licht &amp; amber gekleurde bieren. American pal ale, IPA, double IPA</t>
  </si>
  <si>
    <t>Citra (U)</t>
  </si>
  <si>
    <t xml:space="preserve"> - - - </t>
  </si>
  <si>
    <t>CaraPils 5</t>
  </si>
  <si>
    <t>22...30</t>
  </si>
  <si>
    <t>Belgische Saisongist</t>
  </si>
  <si>
    <t>Fermentis Safbrew F2 korrel</t>
  </si>
  <si>
    <t>Speciale Bottelgist, flinke sedimentatie.</t>
  </si>
  <si>
    <t xml:space="preserve">Beslagdikte in L/kg &gt;  </t>
  </si>
  <si>
    <t>Kies een Maischprofiel &gt;</t>
  </si>
  <si>
    <t xml:space="preserve"> ketelinvloed (vaste parameter) &gt; </t>
  </si>
  <si>
    <t>Vast verlies installatie &gt;</t>
  </si>
  <si>
    <t>eiwitrust J/N ? &gt;</t>
  </si>
  <si>
    <t>% verkoken/uur&gt;</t>
  </si>
  <si>
    <t>Droog, rijk esterig en fenolig profiel / moutig palet. /  Westmalle</t>
  </si>
  <si>
    <t>FG</t>
  </si>
  <si>
    <t xml:space="preserve">Geef opslagtemperatuur mout &gt; </t>
  </si>
  <si>
    <t>Heveldatum &gt;</t>
  </si>
  <si>
    <t xml:space="preserve">Het getal dat ik aflees &gt; </t>
  </si>
  <si>
    <t>Brouwdatum &gt;</t>
  </si>
  <si>
    <t>Botteldatum  &gt;</t>
  </si>
  <si>
    <t>gist factor</t>
  </si>
  <si>
    <t>Maltodextrine 8 D.E. (Brewbody)</t>
  </si>
  <si>
    <t>Glucosestroop 50 D.E.</t>
  </si>
  <si>
    <t>Glucosestroop 28 D.E.</t>
  </si>
  <si>
    <t>Glucosestroop 55 D.E.</t>
  </si>
  <si>
    <t>Glucosestroop 63 D.E.</t>
  </si>
  <si>
    <t>Glucosestroop 95 D.E.</t>
  </si>
  <si>
    <t>Maltodextrine 18 D.E.</t>
  </si>
  <si>
    <t>&lt; Pas spoelwater aan: pH 5,2 à 5,6</t>
  </si>
  <si>
    <t>Kandijsuiker brokken wit</t>
  </si>
  <si>
    <t>Kandijstroop wit</t>
  </si>
  <si>
    <t>Basterdsuiker</t>
  </si>
  <si>
    <t>Rijstsiroop LIMA of Naturkorn Muhle</t>
  </si>
  <si>
    <t>Luikse Appelstroop</t>
  </si>
  <si>
    <t>Vergist-baar-heid(*)</t>
  </si>
  <si>
    <r>
      <t xml:space="preserve">Naam </t>
    </r>
    <r>
      <rPr>
        <sz val="10"/>
        <rFont val="Arial"/>
        <family val="2"/>
      </rPr>
      <t xml:space="preserve">                                          De kolom "vergistbaarheid" is t.o.v.  Pilsmout = 100</t>
    </r>
  </si>
  <si>
    <r>
      <t xml:space="preserve">Naam   </t>
    </r>
    <r>
      <rPr>
        <sz val="10"/>
        <rFont val="Arial"/>
        <family val="2"/>
      </rPr>
      <t xml:space="preserve">                                   De kolom "vergistbaarheid" is t.o.v. kristalsuiker = 100</t>
    </r>
  </si>
  <si>
    <t>SVG</t>
  </si>
  <si>
    <t>Totale kooktijd &gt;</t>
  </si>
  <si>
    <r>
      <t xml:space="preserve">â </t>
    </r>
    <r>
      <rPr>
        <sz val="9"/>
        <rFont val="Arial Narrow"/>
        <family val="2"/>
      </rPr>
      <t xml:space="preserve">te verwachten uit beslag </t>
    </r>
    <r>
      <rPr>
        <sz val="9"/>
        <rFont val="Wingdings"/>
        <family val="0"/>
      </rPr>
      <t>â</t>
    </r>
  </si>
  <si>
    <r>
      <t xml:space="preserve">    te verwachten  uit suikers  en  </t>
    </r>
    <r>
      <rPr>
        <sz val="8"/>
        <rFont val="Wingdings"/>
        <family val="0"/>
      </rPr>
      <t>â</t>
    </r>
    <r>
      <rPr>
        <sz val="9"/>
        <rFont val="Arial Narrow"/>
        <family val="2"/>
      </rPr>
      <t xml:space="preserve">   extracten  </t>
    </r>
    <r>
      <rPr>
        <sz val="6"/>
        <rFont val="Arial Narrow"/>
        <family val="2"/>
      </rPr>
      <t xml:space="preserve"> </t>
    </r>
    <r>
      <rPr>
        <sz val="8"/>
        <rFont val="Wingdings"/>
        <family val="0"/>
      </rPr>
      <t>â</t>
    </r>
  </si>
  <si>
    <t xml:space="preserve">koken in </t>
  </si>
  <si>
    <t>water.</t>
  </si>
  <si>
    <t>Of met korrelgist:</t>
  </si>
  <si>
    <t>moutextract :</t>
  </si>
  <si>
    <r>
      <t xml:space="preserve">Nodige liters kookwort bij 100°C  </t>
    </r>
    <r>
      <rPr>
        <sz val="8"/>
        <rFont val="Wingdings"/>
        <family val="0"/>
      </rPr>
      <t>â</t>
    </r>
  </si>
  <si>
    <r>
      <t xml:space="preserve">Totaal aantal L water brouwsel  </t>
    </r>
    <r>
      <rPr>
        <sz val="8"/>
        <rFont val="Wingdings"/>
        <family val="0"/>
      </rPr>
      <t>â</t>
    </r>
  </si>
  <si>
    <t>volume</t>
  </si>
  <si>
    <t>gist hergisting &gt;</t>
  </si>
  <si>
    <r>
      <t xml:space="preserve">Advies: </t>
    </r>
    <r>
      <rPr>
        <sz val="9"/>
        <color indexed="10"/>
        <rFont val="Arial Narrow"/>
        <family val="2"/>
      </rPr>
      <t xml:space="preserve">Einde Koken, pH best </t>
    </r>
    <r>
      <rPr>
        <b/>
        <sz val="9"/>
        <color indexed="10"/>
        <rFont val="Arial Narrow"/>
        <family val="2"/>
      </rPr>
      <t>tussen 5,1 en 5,4.</t>
    </r>
  </si>
  <si>
    <t>Einde koken: De gemeten pH &gt;</t>
  </si>
  <si>
    <t>&lt;  Advies Vergistings T°</t>
  </si>
  <si>
    <t>Nodige wort bij 20°C &gt;</t>
  </si>
  <si>
    <t>uw beslagketel moet tenminste een</t>
  </si>
  <si>
    <t>ã</t>
  </si>
  <si>
    <t>å</t>
  </si>
  <si>
    <t xml:space="preserve"> - De voorspelling voor de eindvergisting wordt per grondstofregel berekend</t>
  </si>
  <si>
    <t xml:space="preserve"> - Er wordt ondersteld dat giststarter ALTIJD afgegoten wordt, zoals het hoort, formules daartoe aangepast.</t>
  </si>
  <si>
    <t xml:space="preserve"> - Allerlei kleine verbeteringen om nauwkeuriger te voorspellen.</t>
  </si>
  <si>
    <t>Fruitig aroma en palet droog zurige afdronk / Duvel.</t>
  </si>
  <si>
    <t>Kruiden / Kookadditieven</t>
  </si>
  <si>
    <t>Vergist ings correc- tie</t>
  </si>
  <si>
    <r>
      <t>water in hop</t>
    </r>
    <r>
      <rPr>
        <sz val="6"/>
        <rFont val="Arial Narrow"/>
        <family val="2"/>
      </rPr>
      <t xml:space="preserve"> </t>
    </r>
    <r>
      <rPr>
        <sz val="6"/>
        <rFont val="Wingdings"/>
        <family val="0"/>
      </rPr>
      <t xml:space="preserve">â    </t>
    </r>
  </si>
  <si>
    <t>Danstar CBC-1 BottleYeast korrel</t>
  </si>
  <si>
    <t>Danstar BelleSaisonYeast korrel</t>
  </si>
  <si>
    <t>Cascade PELL Brouwland (A)</t>
  </si>
  <si>
    <t>Cascade BLM VDKOOY (A)</t>
  </si>
  <si>
    <t>versie:</t>
  </si>
  <si>
    <r>
      <t>ß</t>
    </r>
    <r>
      <rPr>
        <sz val="10"/>
        <color indexed="12"/>
        <rFont val="Arial Narrow"/>
        <family val="2"/>
      </rPr>
      <t xml:space="preserve">  </t>
    </r>
    <r>
      <rPr>
        <sz val="9"/>
        <color indexed="12"/>
        <rFont val="Arial Narrow"/>
        <family val="2"/>
      </rPr>
      <t>Notities verloop Maischen</t>
    </r>
  </si>
  <si>
    <r>
      <t>Min.vermogen heater</t>
    </r>
    <r>
      <rPr>
        <sz val="6"/>
        <rFont val="Arial Narrow"/>
        <family val="2"/>
      </rPr>
      <t xml:space="preserve"> </t>
    </r>
    <r>
      <rPr>
        <sz val="6"/>
        <rFont val="Wingdings"/>
        <family val="0"/>
      </rPr>
      <t>â</t>
    </r>
  </si>
  <si>
    <t>Clarimalt of Caramelkleur in gram!</t>
  </si>
  <si>
    <t>- -</t>
  </si>
  <si>
    <t>na beslagcorrectie op Extract Effic.&gt;</t>
  </si>
  <si>
    <t>Hieronder tijdelijke grilletjes</t>
  </si>
  <si>
    <t xml:space="preserve">Mengsel 50% Citra, 50% Cascade bellen </t>
  </si>
  <si>
    <t xml:space="preserve">Mengsel 1/3 Citra, 1/3 Cascade, 1/3 Amarillo bellen </t>
  </si>
  <si>
    <t>Om op BRWPlanner met 1 regel te kunnen werken bij gelijkmatig gebruik</t>
  </si>
  <si>
    <t>CascaCitra</t>
  </si>
  <si>
    <t>AmarilCascaCitra</t>
  </si>
  <si>
    <t>citra IPA recepten</t>
  </si>
  <si>
    <t xml:space="preserve"> - Betere voorspelling te bekomen Stamwort in fie van beslagdikte</t>
  </si>
  <si>
    <t>Versie 6.test.6:</t>
  </si>
  <si>
    <t xml:space="preserve"> - Kleurvoorspelling volledig herzien + er zat een fout factor 10 in suikerkleuren.</t>
  </si>
  <si>
    <t>LoviBond</t>
  </si>
  <si>
    <t>&lt; TOT. EBC Kleur</t>
  </si>
  <si>
    <t>&lt; EBC kookkleur</t>
  </si>
  <si>
    <t xml:space="preserve"> - Betere voorspelling eindvergisting in functie van beslagdikte en Maischprofiel</t>
  </si>
  <si>
    <t>EBC</t>
  </si>
  <si>
    <t>ter info</t>
  </si>
  <si>
    <t>Voorspellingen &gt; &gt;</t>
  </si>
  <si>
    <t>CaraBelge 35 (Brouwland)</t>
  </si>
  <si>
    <t>PELL</t>
  </si>
  <si>
    <t>(Carageen) Bevordert neerslaan trub, 1g op 5 liter, Min. 20' koken.</t>
  </si>
  <si>
    <t>R</t>
  </si>
  <si>
    <t>G</t>
  </si>
  <si>
    <t>B</t>
  </si>
  <si>
    <t>A</t>
  </si>
  <si>
    <t>&lt;Gr FG Skr&gt;</t>
  </si>
  <si>
    <t>corrigeer pH na 10' (5,4-5,8)</t>
  </si>
  <si>
    <r>
      <t>â</t>
    </r>
    <r>
      <rPr>
        <sz val="8"/>
        <color indexed="8"/>
        <rFont val="Arial Narrow"/>
        <family val="2"/>
      </rPr>
      <t xml:space="preserve"> bierkleur </t>
    </r>
    <r>
      <rPr>
        <sz val="8"/>
        <color indexed="8"/>
        <rFont val="Wingdings"/>
        <family val="0"/>
      </rPr>
      <t>â</t>
    </r>
  </si>
  <si>
    <t>Voor overzichtelijkheid: Best kolommen N tot en met Y verbergen!</t>
  </si>
  <si>
    <r>
      <t>volume hebben van</t>
    </r>
    <r>
      <rPr>
        <sz val="6"/>
        <rFont val="Arial Narrow"/>
        <family val="2"/>
      </rPr>
      <t xml:space="preserve"> </t>
    </r>
    <r>
      <rPr>
        <sz val="6"/>
        <rFont val="Wingdings"/>
        <family val="0"/>
      </rPr>
      <t>â</t>
    </r>
  </si>
  <si>
    <t>RGB_set</t>
  </si>
  <si>
    <t>&lt; extra water bij te rekenen</t>
  </si>
  <si>
    <t>bij verliezen</t>
  </si>
  <si>
    <t>&lt; som water verdamping</t>
  </si>
  <si>
    <t xml:space="preserve"> en in hop bij 20°C</t>
  </si>
  <si>
    <t xml:space="preserve"> - Ook nieuw: kleurbalk die ongeveer een idee geeft van de voorspelde kleur.</t>
  </si>
  <si>
    <t>Overschrijf: Bekomen liters &gt;</t>
  </si>
  <si>
    <t>kleurtester</t>
  </si>
  <si>
    <t>17…20</t>
  </si>
  <si>
    <t>Danstar BRY-97 IPA korrel</t>
  </si>
  <si>
    <t>Voor o.a. IPA's, licht esterachtig, vrijwel neutraal en geeft geen onaangename geuren.</t>
  </si>
  <si>
    <t>Ze</t>
  </si>
  <si>
    <t>Brekingsindex</t>
  </si>
  <si>
    <r>
      <t xml:space="preserve">â </t>
    </r>
    <r>
      <rPr>
        <sz val="9"/>
        <rFont val="Arial Narrow"/>
        <family val="2"/>
      </rPr>
      <t>voorspelling FG Hygrometer</t>
    </r>
    <r>
      <rPr>
        <sz val="6"/>
        <rFont val="Arial Narrow"/>
        <family val="2"/>
      </rPr>
      <t xml:space="preserve"> </t>
    </r>
    <r>
      <rPr>
        <sz val="6"/>
        <rFont val="Wingdings"/>
        <family val="0"/>
      </rPr>
      <t>â</t>
    </r>
  </si>
  <si>
    <t>&lt; Voorspelling FG (Hygrom.)</t>
  </si>
  <si>
    <t>&lt; Voorspelling FG °Pt (Hygr.)</t>
  </si>
  <si>
    <t>Voorspelling SG &gt;&gt;</t>
  </si>
  <si>
    <r>
      <t xml:space="preserve">Voorspelling alcohol </t>
    </r>
    <r>
      <rPr>
        <u val="single"/>
        <sz val="9"/>
        <color indexed="10"/>
        <rFont val="Arial Narrow"/>
        <family val="2"/>
      </rPr>
      <t>vóór</t>
    </r>
    <r>
      <rPr>
        <sz val="9"/>
        <color indexed="10"/>
        <rFont val="Arial Narrow"/>
        <family val="2"/>
      </rPr>
      <t xml:space="preserve"> bottelen ongeveer &gt; </t>
    </r>
  </si>
  <si>
    <t>Kleurtest</t>
  </si>
  <si>
    <t>V6.1testB</t>
  </si>
  <si>
    <t xml:space="preserve"> van 25/03/2013</t>
  </si>
  <si>
    <t>S.G.</t>
  </si>
  <si>
    <t>In bottelvat &gt;&gt;</t>
  </si>
  <si>
    <t>Bakken van 33cl &gt;&gt;</t>
  </si>
  <si>
    <t>Blond</t>
  </si>
  <si>
    <t>FWH</t>
  </si>
  <si>
    <t>D</t>
  </si>
  <si>
    <t>J</t>
  </si>
  <si>
    <t>geen</t>
  </si>
  <si>
    <t>Recept 57</t>
  </si>
  <si>
    <t>REFRAC</t>
  </si>
  <si>
    <t xml:space="preserve">Nota's: </t>
  </si>
  <si>
    <t>helft batch gelagered met 7,5g Amarillo vanaf 11/11/15</t>
  </si>
  <si>
    <t>Proefnotities: te vroeg geproefd, hergisting nog niet compleet! Weinig schuim, te verwachten na fout met te weinig gedoseerde bottelsuiker. Schuim is grof wegens hoog ingieten, wel mooi stabiel. Geur mooi hoppig, goed gelukt maar misschien teveel voor iemand met een normale reukzin. Body perfect, licht maar niet te weinig. Een klein restzoetje, mogelijk nog niet voltooide hergisting. Smaak mooi in evenwicht, bitterheid ok maar mag misschien nog iets meer. Klein bittertje in de afdronk. Spijtig van het koolzuur want dit was potentieel een heel mooi bier geweest.</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</si>
</sst>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0"/>
    <numFmt numFmtId="181" formatCode="d\ mmm\ yy"/>
    <numFmt numFmtId="182" formatCode="0.0%"/>
    <numFmt numFmtId="183" formatCode="0&quot; lit.&quot;"/>
    <numFmt numFmtId="184" formatCode="0.0\L"/>
    <numFmt numFmtId="185" formatCode="0.000"/>
    <numFmt numFmtId="186" formatCode="0.0&quot;°C&quot;"/>
    <numFmt numFmtId="187" formatCode="0\'"/>
    <numFmt numFmtId="188" formatCode="&quot;SG  &quot;0.0"/>
    <numFmt numFmtId="189" formatCode="0.0&quot; Pt°&quot;"/>
    <numFmt numFmtId="190" formatCode="0.0&quot;°Bx&quot;"/>
    <numFmt numFmtId="191" formatCode="0.0&quot; lit.&quot;"/>
    <numFmt numFmtId="192" formatCode="0.0&quot; kg&quot;"/>
    <numFmt numFmtId="193" formatCode="0.0\%"/>
    <numFmt numFmtId="194" formatCode="0&quot;°C&quot;"/>
    <numFmt numFmtId="195" formatCode="&quot;op &quot;0&quot; °C&quot;"/>
    <numFmt numFmtId="196" formatCode="0&quot; °C&quot;"/>
    <numFmt numFmtId="197" formatCode="0&quot; min.&quot;"/>
    <numFmt numFmtId="198" formatCode="0.00&quot; Pt°&quot;"/>
    <numFmt numFmtId="199" formatCode="0&quot; kW&quot;"/>
    <numFmt numFmtId="200" formatCode="&quot;of &quot;0.0&quot; °Pt&quot;"/>
    <numFmt numFmtId="201" formatCode="&quot;of &quot;0.0&quot;°Bx&quot;"/>
    <numFmt numFmtId="202" formatCode="0&quot; g.&quot;"/>
    <numFmt numFmtId="203" formatCode="&quot;SG=&quot;0"/>
    <numFmt numFmtId="204" formatCode="0.0&quot; °Bx&quot;"/>
    <numFmt numFmtId="205" formatCode="0.0&quot; °P&quot;"/>
    <numFmt numFmtId="206" formatCode="0.00&quot; Brix&quot;"/>
    <numFmt numFmtId="207" formatCode="0.0&quot; g/L&quot;"/>
    <numFmt numFmtId="208" formatCode="&quot;SG=&quot;0.0"/>
    <numFmt numFmtId="209" formatCode="0&quot; d.&quot;"/>
    <numFmt numFmtId="210" formatCode="&quot;END &quot;mmm\ yy"/>
    <numFmt numFmtId="211" formatCode="0.0&quot; °C&quot;"/>
    <numFmt numFmtId="212" formatCode="d\-mmm\-yyyy"/>
    <numFmt numFmtId="213" formatCode="#,##0.0_ ;\-#,##0.0\ "/>
    <numFmt numFmtId="214" formatCode="0.000000"/>
    <numFmt numFmtId="215" formatCode="0.00000"/>
    <numFmt numFmtId="216" formatCode="0.0000"/>
    <numFmt numFmtId="217" formatCode="0.0000000"/>
    <numFmt numFmtId="218" formatCode="0.00000000"/>
    <numFmt numFmtId="219" formatCode="0.000000000"/>
    <numFmt numFmtId="220" formatCode="0.0000000000"/>
    <numFmt numFmtId="221" formatCode="0&quot; bakken&quot;"/>
    <numFmt numFmtId="222" formatCode="&quot;+ &quot;0&quot; flesjes&quot;"/>
  </numFmts>
  <fonts count="120">
    <font>
      <sz val="10"/>
      <name val="Arial"/>
      <family val="2"/>
    </font>
    <font>
      <sz val="10"/>
      <name val="Arial Narrow"/>
      <family val="2"/>
    </font>
    <font>
      <b/>
      <i/>
      <sz val="12"/>
      <color indexed="12"/>
      <name val="Arial Narrow"/>
      <family val="2"/>
    </font>
    <font>
      <sz val="9"/>
      <color indexed="12"/>
      <name val="Arial Narrow"/>
      <family val="2"/>
    </font>
    <font>
      <sz val="8"/>
      <color indexed="12"/>
      <name val="Arial"/>
      <family val="2"/>
    </font>
    <font>
      <sz val="8"/>
      <color indexed="10"/>
      <name val="Arial"/>
      <family val="2"/>
    </font>
    <font>
      <sz val="8"/>
      <color indexed="22"/>
      <name val="Arial Narrow"/>
      <family val="2"/>
    </font>
    <font>
      <sz val="10"/>
      <color indexed="12"/>
      <name val="Arial Narrow"/>
      <family val="2"/>
    </font>
    <font>
      <sz val="11"/>
      <color indexed="12"/>
      <name val="Arial Narrow"/>
      <family val="2"/>
    </font>
    <font>
      <sz val="10"/>
      <color indexed="8"/>
      <name val="Arial"/>
      <family val="2"/>
    </font>
    <font>
      <sz val="9"/>
      <color indexed="12"/>
      <name val="Arial"/>
      <family val="2"/>
    </font>
    <font>
      <b/>
      <sz val="11"/>
      <color indexed="10"/>
      <name val="Arial"/>
      <family val="2"/>
    </font>
    <font>
      <sz val="10"/>
      <color indexed="10"/>
      <name val="Arial Narrow"/>
      <family val="2"/>
    </font>
    <font>
      <sz val="9"/>
      <name val="Arial Narrow"/>
      <family val="2"/>
    </font>
    <font>
      <b/>
      <sz val="9"/>
      <name val="Arial Narrow"/>
      <family val="2"/>
    </font>
    <font>
      <b/>
      <sz val="9"/>
      <color indexed="12"/>
      <name val="Arial Narrow"/>
      <family val="2"/>
    </font>
    <font>
      <sz val="9"/>
      <color indexed="8"/>
      <name val="Tahoma"/>
      <family val="2"/>
    </font>
    <font>
      <b/>
      <sz val="10"/>
      <color indexed="12"/>
      <name val="Arial Narrow"/>
      <family val="2"/>
    </font>
    <font>
      <b/>
      <sz val="8"/>
      <color indexed="8"/>
      <name val="Tahoma"/>
      <family val="2"/>
    </font>
    <font>
      <sz val="8"/>
      <name val="Arial Narrow"/>
      <family val="2"/>
    </font>
    <font>
      <sz val="8"/>
      <color indexed="12"/>
      <name val="Arial Narrow"/>
      <family val="2"/>
    </font>
    <font>
      <b/>
      <sz val="9"/>
      <color indexed="8"/>
      <name val="Arial Narrow"/>
      <family val="2"/>
    </font>
    <font>
      <sz val="9"/>
      <color indexed="8"/>
      <name val="Arial Narrow"/>
      <family val="2"/>
    </font>
    <font>
      <sz val="10"/>
      <color indexed="8"/>
      <name val="Arial Narrow"/>
      <family val="2"/>
    </font>
    <font>
      <sz val="10"/>
      <color indexed="8"/>
      <name val="Wingdings"/>
      <family val="0"/>
    </font>
    <font>
      <sz val="9"/>
      <color indexed="10"/>
      <name val="Arial Narrow"/>
      <family val="2"/>
    </font>
    <font>
      <sz val="8"/>
      <color indexed="8"/>
      <name val="Arial Narrow"/>
      <family val="2"/>
    </font>
    <font>
      <sz val="9"/>
      <color indexed="17"/>
      <name val="Arial Narrow"/>
      <family val="2"/>
    </font>
    <font>
      <i/>
      <sz val="9"/>
      <color indexed="17"/>
      <name val="Arial Narrow"/>
      <family val="2"/>
    </font>
    <font>
      <sz val="9"/>
      <name val="Arial"/>
      <family val="2"/>
    </font>
    <font>
      <b/>
      <sz val="8"/>
      <color indexed="10"/>
      <name val="Tahoma"/>
      <family val="2"/>
    </font>
    <font>
      <b/>
      <sz val="10"/>
      <color indexed="10"/>
      <name val="Arial Narrow"/>
      <family val="2"/>
    </font>
    <font>
      <sz val="6"/>
      <name val="Wingdings"/>
      <family val="0"/>
    </font>
    <font>
      <sz val="6"/>
      <name val="Arial Narrow"/>
      <family val="2"/>
    </font>
    <font>
      <b/>
      <sz val="9"/>
      <color indexed="10"/>
      <name val="Arial Narrow"/>
      <family val="2"/>
    </font>
    <font>
      <sz val="8"/>
      <color indexed="8"/>
      <name val="Tahoma"/>
      <family val="2"/>
    </font>
    <font>
      <b/>
      <sz val="9"/>
      <color indexed="17"/>
      <name val="Arial Narrow"/>
      <family val="2"/>
    </font>
    <font>
      <sz val="11"/>
      <color indexed="10"/>
      <name val="Arial"/>
      <family val="2"/>
    </font>
    <font>
      <sz val="11"/>
      <color indexed="10"/>
      <name val="Wingdings"/>
      <family val="0"/>
    </font>
    <font>
      <sz val="8"/>
      <color indexed="10"/>
      <name val="Arial Narrow"/>
      <family val="2"/>
    </font>
    <font>
      <b/>
      <sz val="8"/>
      <color indexed="10"/>
      <name val="Arial Narrow"/>
      <family val="2"/>
    </font>
    <font>
      <sz val="9"/>
      <color indexed="8"/>
      <name val="Arial"/>
      <family val="2"/>
    </font>
    <font>
      <b/>
      <sz val="10"/>
      <color indexed="10"/>
      <name val="Arial"/>
      <family val="2"/>
    </font>
    <font>
      <sz val="9"/>
      <color indexed="8"/>
      <name val="Wingdings"/>
      <family val="0"/>
    </font>
    <font>
      <b/>
      <sz val="9"/>
      <color indexed="10"/>
      <name val="Arial"/>
      <family val="2"/>
    </font>
    <font>
      <sz val="9"/>
      <color indexed="56"/>
      <name val="Arial Narrow"/>
      <family val="2"/>
    </font>
    <font>
      <b/>
      <sz val="11"/>
      <color indexed="10"/>
      <name val="Arial Narrow"/>
      <family val="2"/>
    </font>
    <font>
      <sz val="11"/>
      <color indexed="8"/>
      <name val="Arial Narrow"/>
      <family val="2"/>
    </font>
    <font>
      <sz val="9"/>
      <name val="Wingdings"/>
      <family val="0"/>
    </font>
    <font>
      <sz val="9"/>
      <color indexed="10"/>
      <name val="Wingdings"/>
      <family val="0"/>
    </font>
    <font>
      <b/>
      <sz val="10"/>
      <color indexed="10"/>
      <name val="Tahoma"/>
      <family val="2"/>
    </font>
    <font>
      <sz val="8"/>
      <color indexed="10"/>
      <name val="Tahoma"/>
      <family val="2"/>
    </font>
    <font>
      <b/>
      <sz val="10"/>
      <color indexed="8"/>
      <name val="Arial Narrow"/>
      <family val="2"/>
    </font>
    <font>
      <sz val="8"/>
      <name val="Wingdings"/>
      <family val="0"/>
    </font>
    <font>
      <b/>
      <sz val="9"/>
      <color indexed="8"/>
      <name val="Tahoma"/>
      <family val="2"/>
    </font>
    <font>
      <sz val="9"/>
      <color indexed="10"/>
      <name val="Arial"/>
      <family val="2"/>
    </font>
    <font>
      <sz val="8"/>
      <name val="Arial"/>
      <family val="2"/>
    </font>
    <font>
      <sz val="8"/>
      <color indexed="8"/>
      <name val="Arial"/>
      <family val="2"/>
    </font>
    <font>
      <b/>
      <sz val="8"/>
      <color indexed="8"/>
      <name val="Arial Narrow"/>
      <family val="2"/>
    </font>
    <font>
      <u val="single"/>
      <sz val="9"/>
      <color indexed="10"/>
      <name val="Arial"/>
      <family val="2"/>
    </font>
    <font>
      <b/>
      <u val="single"/>
      <sz val="8"/>
      <color indexed="8"/>
      <name val="Tahoma"/>
      <family val="2"/>
    </font>
    <font>
      <sz val="9"/>
      <name val="Tahoma"/>
      <family val="2"/>
    </font>
    <font>
      <b/>
      <sz val="12"/>
      <name val="Arial"/>
      <family val="2"/>
    </font>
    <font>
      <sz val="8"/>
      <color indexed="55"/>
      <name val="Arial Narrow"/>
      <family val="2"/>
    </font>
    <font>
      <sz val="14"/>
      <name val="Arial"/>
      <family val="2"/>
    </font>
    <font>
      <sz val="8"/>
      <color indexed="22"/>
      <name val="Arial"/>
      <family val="2"/>
    </font>
    <font>
      <sz val="8"/>
      <color indexed="23"/>
      <name val="Arial Narrow"/>
      <family val="2"/>
    </font>
    <font>
      <b/>
      <sz val="10"/>
      <name val="Arial"/>
      <family val="2"/>
    </font>
    <font>
      <sz val="10"/>
      <color indexed="12"/>
      <name val="Wingdings"/>
      <family val="0"/>
    </font>
    <font>
      <sz val="10"/>
      <color indexed="9"/>
      <name val="Arial"/>
      <family val="2"/>
    </font>
    <font>
      <sz val="9"/>
      <color indexed="9"/>
      <name val="Arial Narrow"/>
      <family val="2"/>
    </font>
    <font>
      <sz val="10"/>
      <color indexed="9"/>
      <name val="Arial Narrow"/>
      <family val="2"/>
    </font>
    <font>
      <b/>
      <sz val="9"/>
      <name val="Tahoma"/>
      <family val="2"/>
    </font>
    <font>
      <b/>
      <sz val="8"/>
      <name val="Arial Narrow"/>
      <family val="2"/>
    </font>
    <font>
      <b/>
      <sz val="8"/>
      <color indexed="14"/>
      <name val="Arial"/>
      <family val="2"/>
    </font>
    <font>
      <sz val="9"/>
      <color indexed="22"/>
      <name val="Arial Narrow"/>
      <family val="2"/>
    </font>
    <font>
      <b/>
      <sz val="8"/>
      <color indexed="17"/>
      <name val="Arial Narrow"/>
      <family val="2"/>
    </font>
    <font>
      <i/>
      <sz val="9"/>
      <color indexed="21"/>
      <name val="Arial Narrow"/>
      <family val="2"/>
    </font>
    <font>
      <sz val="8"/>
      <color indexed="8"/>
      <name val="Wingdings"/>
      <family val="0"/>
    </font>
    <font>
      <b/>
      <sz val="8"/>
      <name val="Arial"/>
      <family val="2"/>
    </font>
    <font>
      <b/>
      <sz val="8"/>
      <color indexed="12"/>
      <name val="Arial Narrow"/>
      <family val="2"/>
    </font>
    <font>
      <b/>
      <sz val="10"/>
      <name val="Arial Narrow"/>
      <family val="2"/>
    </font>
    <font>
      <b/>
      <sz val="10"/>
      <color indexed="17"/>
      <name val="Arial"/>
      <family val="2"/>
    </font>
    <font>
      <b/>
      <sz val="8"/>
      <color indexed="58"/>
      <name val="Arial Narrow"/>
      <family val="2"/>
    </font>
    <font>
      <b/>
      <sz val="10"/>
      <color indexed="8"/>
      <name val="Arial"/>
      <family val="2"/>
    </font>
    <font>
      <u val="single"/>
      <sz val="9"/>
      <color indexed="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6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7"/>
        <bgColor indexed="64"/>
      </patternFill>
    </fill>
    <fill>
      <patternFill patternType="solid">
        <fgColor indexed="34"/>
        <bgColor indexed="64"/>
      </patternFill>
    </fill>
    <fill>
      <patternFill patternType="solid">
        <fgColor indexed="46"/>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4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45"/>
        <bgColor indexed="64"/>
      </patternFill>
    </fill>
    <fill>
      <patternFill patternType="solid">
        <fgColor indexed="13"/>
        <bgColor indexed="64"/>
      </patternFill>
    </fill>
    <fill>
      <patternFill patternType="solid">
        <fgColor indexed="51"/>
        <bgColor indexed="64"/>
      </patternFill>
    </fill>
    <fill>
      <patternFill patternType="solid">
        <fgColor indexed="42"/>
        <bgColor indexed="64"/>
      </patternFill>
    </fill>
    <fill>
      <patternFill patternType="solid">
        <fgColor indexed="40"/>
        <bgColor indexed="64"/>
      </patternFill>
    </fill>
    <fill>
      <patternFill patternType="solid">
        <fgColor indexed="52"/>
        <bgColor indexed="64"/>
      </patternFill>
    </fill>
    <fill>
      <patternFill patternType="solid">
        <fgColor indexed="43"/>
        <bgColor indexed="64"/>
      </patternFill>
    </fill>
    <fill>
      <patternFill patternType="solid">
        <fgColor indexed="47"/>
        <bgColor indexed="64"/>
      </patternFill>
    </fill>
    <fill>
      <patternFill patternType="solid">
        <fgColor indexed="47"/>
        <bgColor indexed="64"/>
      </patternFill>
    </fill>
  </fills>
  <borders count="1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color indexed="63"/>
      </top>
      <bottom>
        <color indexed="63"/>
      </bottom>
    </border>
    <border>
      <left style="hair">
        <color indexed="12"/>
      </left>
      <right style="hair">
        <color indexed="12"/>
      </right>
      <top style="hair">
        <color indexed="12"/>
      </top>
      <bottom style="hair">
        <color indexed="12"/>
      </bottom>
    </border>
    <border>
      <left style="thin">
        <color indexed="8"/>
      </left>
      <right style="hair">
        <color indexed="50"/>
      </right>
      <top style="thin">
        <color indexed="8"/>
      </top>
      <bottom style="hair">
        <color indexed="50"/>
      </bottom>
    </border>
    <border>
      <left style="hair">
        <color indexed="50"/>
      </left>
      <right style="hair">
        <color indexed="50"/>
      </right>
      <top style="thin">
        <color indexed="8"/>
      </top>
      <bottom style="hair">
        <color indexed="50"/>
      </bottom>
    </border>
    <border>
      <left>
        <color indexed="63"/>
      </left>
      <right style="hair">
        <color indexed="50"/>
      </right>
      <top style="thin">
        <color indexed="8"/>
      </top>
      <bottom style="hair">
        <color indexed="50"/>
      </bottom>
    </border>
    <border>
      <left style="thin">
        <color indexed="8"/>
      </left>
      <right style="hair">
        <color indexed="50"/>
      </right>
      <top>
        <color indexed="63"/>
      </top>
      <bottom>
        <color indexed="63"/>
      </bottom>
    </border>
    <border>
      <left>
        <color indexed="63"/>
      </left>
      <right style="hair">
        <color indexed="50"/>
      </right>
      <top style="hair">
        <color indexed="50"/>
      </top>
      <bottom>
        <color indexed="63"/>
      </bottom>
    </border>
    <border>
      <left style="hair">
        <color indexed="50"/>
      </left>
      <right>
        <color indexed="63"/>
      </right>
      <top>
        <color indexed="63"/>
      </top>
      <bottom>
        <color indexed="63"/>
      </bottom>
    </border>
    <border>
      <left style="hair">
        <color indexed="50"/>
      </left>
      <right style="hair">
        <color indexed="50"/>
      </right>
      <top>
        <color indexed="63"/>
      </top>
      <bottom>
        <color indexed="63"/>
      </bottom>
    </border>
    <border>
      <left>
        <color indexed="63"/>
      </left>
      <right style="hair">
        <color indexed="50"/>
      </right>
      <top>
        <color indexed="63"/>
      </top>
      <bottom>
        <color indexed="63"/>
      </bottom>
    </border>
    <border>
      <left style="thin">
        <color indexed="8"/>
      </left>
      <right style="hair">
        <color indexed="53"/>
      </right>
      <top style="hair">
        <color indexed="53"/>
      </top>
      <bottom style="hair">
        <color indexed="53"/>
      </bottom>
    </border>
    <border>
      <left style="hair">
        <color indexed="53"/>
      </left>
      <right style="hair">
        <color indexed="53"/>
      </right>
      <top style="hair">
        <color indexed="53"/>
      </top>
      <bottom style="hair">
        <color indexed="53"/>
      </bottom>
    </border>
    <border>
      <left style="hair">
        <color indexed="53"/>
      </left>
      <right style="thin">
        <color indexed="8"/>
      </right>
      <top style="hair">
        <color indexed="53"/>
      </top>
      <bottom style="hair">
        <color indexed="53"/>
      </bottom>
    </border>
    <border>
      <left style="thin">
        <color indexed="8"/>
      </left>
      <right style="hair">
        <color indexed="50"/>
      </right>
      <top style="thin">
        <color indexed="12"/>
      </top>
      <bottom>
        <color indexed="63"/>
      </bottom>
    </border>
    <border>
      <left style="hair">
        <color indexed="50"/>
      </left>
      <right style="hair">
        <color indexed="50"/>
      </right>
      <top style="thin">
        <color indexed="12"/>
      </top>
      <bottom>
        <color indexed="63"/>
      </bottom>
    </border>
    <border>
      <left>
        <color indexed="63"/>
      </left>
      <right>
        <color indexed="63"/>
      </right>
      <top style="thin">
        <color indexed="12"/>
      </top>
      <bottom>
        <color indexed="63"/>
      </bottom>
    </border>
    <border>
      <left style="hair">
        <color indexed="50"/>
      </left>
      <right>
        <color indexed="63"/>
      </right>
      <top style="thin">
        <color indexed="12"/>
      </top>
      <bottom>
        <color indexed="63"/>
      </bottom>
    </border>
    <border>
      <left style="hair">
        <color indexed="12"/>
      </left>
      <right style="thin">
        <color indexed="8"/>
      </right>
      <top style="hair">
        <color indexed="12"/>
      </top>
      <bottom style="hair">
        <color indexed="12"/>
      </bottom>
    </border>
    <border>
      <left style="hair">
        <color indexed="50"/>
      </left>
      <right>
        <color indexed="63"/>
      </right>
      <top>
        <color indexed="63"/>
      </top>
      <bottom style="hair">
        <color indexed="12"/>
      </bottom>
    </border>
    <border>
      <left style="hair">
        <color indexed="50"/>
      </left>
      <right style="hair">
        <color indexed="50"/>
      </right>
      <top>
        <color indexed="63"/>
      </top>
      <bottom style="hair">
        <color indexed="12"/>
      </bottom>
    </border>
    <border>
      <left style="hair">
        <color indexed="50"/>
      </left>
      <right style="hair">
        <color indexed="50"/>
      </right>
      <top style="hair">
        <color indexed="12"/>
      </top>
      <bottom style="thin">
        <color indexed="12"/>
      </bottom>
    </border>
    <border>
      <left style="hair">
        <color indexed="50"/>
      </left>
      <right>
        <color indexed="63"/>
      </right>
      <top style="hair">
        <color indexed="12"/>
      </top>
      <bottom style="thin">
        <color indexed="12"/>
      </bottom>
    </border>
    <border>
      <left style="hair">
        <color indexed="53"/>
      </left>
      <right style="hair">
        <color indexed="53"/>
      </right>
      <top>
        <color indexed="63"/>
      </top>
      <bottom style="hair">
        <color indexed="53"/>
      </bottom>
    </border>
    <border>
      <left style="thin">
        <color indexed="8"/>
      </left>
      <right>
        <color indexed="63"/>
      </right>
      <top style="thin">
        <color indexed="8"/>
      </top>
      <bottom>
        <color indexed="63"/>
      </bottom>
    </border>
    <border>
      <left>
        <color indexed="63"/>
      </left>
      <right>
        <color indexed="63"/>
      </right>
      <top style="thin">
        <color indexed="8"/>
      </top>
      <bottom style="hair">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10"/>
      </left>
      <right style="hair">
        <color indexed="10"/>
      </right>
      <top style="hair">
        <color indexed="10"/>
      </top>
      <bottom style="hair">
        <color indexed="10"/>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10"/>
      </left>
      <right style="thin">
        <color indexed="10"/>
      </right>
      <top>
        <color indexed="63"/>
      </top>
      <bottom style="thin">
        <color indexed="8"/>
      </bottom>
    </border>
    <border>
      <left>
        <color indexed="63"/>
      </left>
      <right style="thin">
        <color indexed="8"/>
      </right>
      <top>
        <color indexed="63"/>
      </top>
      <bottom style="thin">
        <color indexed="8"/>
      </bottom>
    </border>
    <border>
      <left style="hair">
        <color indexed="17"/>
      </left>
      <right style="hair">
        <color indexed="17"/>
      </right>
      <top style="hair">
        <color indexed="17"/>
      </top>
      <bottom style="thin">
        <color indexed="8"/>
      </bottom>
    </border>
    <border>
      <left>
        <color indexed="63"/>
      </left>
      <right>
        <color indexed="63"/>
      </right>
      <top style="thin">
        <color indexed="8"/>
      </top>
      <bottom>
        <color indexed="63"/>
      </bottom>
    </border>
    <border>
      <left style="hair">
        <color indexed="17"/>
      </left>
      <right style="hair">
        <color indexed="17"/>
      </right>
      <top style="thin">
        <color indexed="8"/>
      </top>
      <bottom>
        <color indexed="63"/>
      </bottom>
    </border>
    <border>
      <left style="hair">
        <color indexed="17"/>
      </left>
      <right style="thin">
        <color indexed="8"/>
      </right>
      <top style="thin">
        <color indexed="8"/>
      </top>
      <bottom>
        <color indexed="63"/>
      </bottom>
    </border>
    <border>
      <left style="thin">
        <color indexed="8"/>
      </left>
      <right style="hair">
        <color indexed="17"/>
      </right>
      <top style="thin">
        <color indexed="8"/>
      </top>
      <bottom>
        <color indexed="63"/>
      </bottom>
    </border>
    <border>
      <left style="hair">
        <color indexed="17"/>
      </left>
      <right style="double">
        <color indexed="8"/>
      </right>
      <top style="thin">
        <color indexed="8"/>
      </top>
      <bottom>
        <color indexed="63"/>
      </bottom>
    </border>
    <border>
      <left style="hair">
        <color indexed="17"/>
      </left>
      <right style="thin">
        <color indexed="8"/>
      </right>
      <top>
        <color indexed="63"/>
      </top>
      <bottom>
        <color indexed="63"/>
      </bottom>
    </border>
    <border>
      <left style="thin">
        <color indexed="8"/>
      </left>
      <right style="hair">
        <color indexed="17"/>
      </right>
      <top style="hair">
        <color indexed="8"/>
      </top>
      <bottom style="hair">
        <color indexed="8"/>
      </bottom>
    </border>
    <border>
      <left style="hair">
        <color indexed="17"/>
      </left>
      <right style="hair">
        <color indexed="17"/>
      </right>
      <top style="hair">
        <color indexed="8"/>
      </top>
      <bottom style="hair">
        <color indexed="8"/>
      </bottom>
    </border>
    <border>
      <left style="hair">
        <color indexed="17"/>
      </left>
      <right style="double">
        <color indexed="8"/>
      </right>
      <top style="hair">
        <color indexed="8"/>
      </top>
      <bottom style="hair">
        <color indexed="8"/>
      </bottom>
    </border>
    <border>
      <left style="hair">
        <color indexed="17"/>
      </left>
      <right style="thin">
        <color indexed="8"/>
      </right>
      <top style="hair">
        <color indexed="8"/>
      </top>
      <bottom style="hair">
        <color indexed="8"/>
      </bottom>
    </border>
    <border>
      <left>
        <color indexed="63"/>
      </left>
      <right>
        <color indexed="63"/>
      </right>
      <top>
        <color indexed="63"/>
      </top>
      <bottom style="hair">
        <color indexed="8"/>
      </bottom>
    </border>
    <border>
      <left style="hair">
        <color indexed="17"/>
      </left>
      <right style="double">
        <color indexed="8"/>
      </right>
      <top>
        <color indexed="63"/>
      </top>
      <bottom>
        <color indexed="63"/>
      </bottom>
    </border>
    <border>
      <left>
        <color indexed="63"/>
      </left>
      <right>
        <color indexed="63"/>
      </right>
      <top style="hair">
        <color indexed="8"/>
      </top>
      <bottom>
        <color indexed="63"/>
      </bottom>
    </border>
    <border>
      <left style="hair">
        <color indexed="17"/>
      </left>
      <right style="hair">
        <color indexed="17"/>
      </right>
      <top style="hair">
        <color indexed="17"/>
      </top>
      <bottom style="hair">
        <color indexed="17"/>
      </bottom>
    </border>
    <border>
      <left style="hair">
        <color indexed="12"/>
      </left>
      <right style="hair">
        <color indexed="12"/>
      </right>
      <top>
        <color indexed="63"/>
      </top>
      <bottom style="hair">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0"/>
      </top>
      <bottom style="thin">
        <color indexed="10"/>
      </bottom>
    </border>
    <border>
      <left style="thin">
        <color indexed="12"/>
      </left>
      <right style="thin">
        <color indexed="12"/>
      </right>
      <top style="thin">
        <color indexed="12"/>
      </top>
      <bottom>
        <color indexed="63"/>
      </bottom>
    </border>
    <border>
      <left style="thin">
        <color indexed="10"/>
      </left>
      <right style="thin">
        <color indexed="10"/>
      </right>
      <top style="thin">
        <color indexed="10"/>
      </top>
      <bottom style="thin">
        <color indexed="10"/>
      </bottom>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color indexed="10"/>
      </left>
      <right style="thin">
        <color indexed="10"/>
      </right>
      <top style="thin">
        <color indexed="10"/>
      </top>
      <bottom>
        <color indexed="63"/>
      </bottom>
    </border>
    <border>
      <left style="thin">
        <color indexed="10"/>
      </left>
      <right style="thin">
        <color indexed="10"/>
      </right>
      <top style="thin">
        <color indexed="10"/>
      </top>
      <bottom style="thin">
        <color indexed="8"/>
      </bottom>
    </border>
    <border>
      <left>
        <color indexed="63"/>
      </left>
      <right>
        <color indexed="63"/>
      </right>
      <top style="thin">
        <color indexed="8"/>
      </top>
      <bottom style="thin">
        <color indexed="8"/>
      </bottom>
    </border>
    <border>
      <left style="thin">
        <color indexed="10"/>
      </left>
      <right style="thin">
        <color indexed="10"/>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12"/>
      </left>
      <right style="thin">
        <color indexed="12"/>
      </right>
      <top style="thin">
        <color indexed="8"/>
      </top>
      <bottom style="thin">
        <color indexed="12"/>
      </bottom>
    </border>
    <border>
      <left style="thin">
        <color indexed="8"/>
      </left>
      <right style="thin">
        <color indexed="8"/>
      </right>
      <top style="thin">
        <color indexed="8"/>
      </top>
      <bottom>
        <color indexed="63"/>
      </bottom>
    </border>
    <border>
      <left style="hair">
        <color indexed="8"/>
      </left>
      <right>
        <color indexed="63"/>
      </right>
      <top style="hair">
        <color indexed="10"/>
      </top>
      <bottom style="hair">
        <color indexed="53"/>
      </bottom>
    </border>
    <border>
      <left>
        <color indexed="63"/>
      </left>
      <right style="thin">
        <color indexed="10"/>
      </right>
      <top style="thin">
        <color indexed="8"/>
      </top>
      <bottom style="thin">
        <color indexed="8"/>
      </bottom>
    </border>
    <border>
      <left>
        <color indexed="63"/>
      </left>
      <right style="thin">
        <color indexed="8"/>
      </right>
      <top style="thin">
        <color indexed="8"/>
      </top>
      <bottom style="hair">
        <color indexed="50"/>
      </bottom>
    </border>
    <border>
      <left>
        <color indexed="63"/>
      </left>
      <right style="thin">
        <color indexed="8"/>
      </right>
      <top>
        <color indexed="63"/>
      </top>
      <bottom>
        <color indexed="63"/>
      </bottom>
    </border>
    <border>
      <left>
        <color indexed="63"/>
      </left>
      <right style="thin">
        <color indexed="8"/>
      </right>
      <top style="thin">
        <color indexed="12"/>
      </top>
      <bottom>
        <color indexed="63"/>
      </bottom>
    </border>
    <border>
      <left>
        <color indexed="63"/>
      </left>
      <right style="thin">
        <color indexed="8"/>
      </right>
      <top>
        <color indexed="63"/>
      </top>
      <bottom style="hair">
        <color indexed="12"/>
      </bottom>
    </border>
    <border>
      <left>
        <color indexed="63"/>
      </left>
      <right style="thin">
        <color indexed="8"/>
      </right>
      <top style="hair">
        <color indexed="12"/>
      </top>
      <bottom>
        <color indexed="63"/>
      </bottom>
    </border>
    <border>
      <left style="hair">
        <color indexed="53"/>
      </left>
      <right style="thin"/>
      <top style="hair">
        <color indexed="53"/>
      </top>
      <bottom style="hair">
        <color indexed="53"/>
      </bottom>
    </border>
    <border>
      <left style="hair">
        <color indexed="50"/>
      </left>
      <right style="thin"/>
      <top>
        <color indexed="63"/>
      </top>
      <bottom>
        <color indexed="63"/>
      </bottom>
    </border>
    <border>
      <left style="hair">
        <color indexed="17"/>
      </left>
      <right style="double">
        <color indexed="8"/>
      </right>
      <top style="hair">
        <color indexed="8"/>
      </top>
      <bottom style="thin"/>
    </border>
    <border>
      <left style="hair">
        <color indexed="17"/>
      </left>
      <right style="hair">
        <color indexed="17"/>
      </right>
      <top style="hair">
        <color indexed="8"/>
      </top>
      <bottom style="hair">
        <color indexed="17"/>
      </bottom>
    </border>
    <border>
      <left>
        <color indexed="63"/>
      </left>
      <right style="thin"/>
      <top>
        <color indexed="63"/>
      </top>
      <bottom>
        <color indexed="63"/>
      </bottom>
    </border>
    <border>
      <left style="thin">
        <color indexed="8"/>
      </left>
      <right style="hair">
        <color indexed="17"/>
      </right>
      <top style="hair">
        <color indexed="8"/>
      </top>
      <bottom style="thin"/>
    </border>
    <border>
      <left>
        <color indexed="63"/>
      </left>
      <right style="hair">
        <color indexed="17"/>
      </right>
      <top style="hair">
        <color indexed="8"/>
      </top>
      <bottom style="thin"/>
    </border>
    <border>
      <left style="hair">
        <color indexed="12"/>
      </left>
      <right style="hair">
        <color indexed="10"/>
      </right>
      <top style="hair">
        <color indexed="10"/>
      </top>
      <bottom style="hair">
        <color indexed="10"/>
      </bottom>
    </border>
    <border>
      <left>
        <color indexed="63"/>
      </left>
      <right style="thin"/>
      <top style="thin">
        <color indexed="8"/>
      </top>
      <bottom style="hair">
        <color indexed="8"/>
      </bottom>
    </border>
    <border>
      <left style="thin"/>
      <right>
        <color indexed="63"/>
      </right>
      <top style="thin"/>
      <bottom style="thin"/>
    </border>
    <border>
      <left>
        <color indexed="63"/>
      </left>
      <right style="thin"/>
      <top style="thin">
        <color indexed="8"/>
      </top>
      <bottom style="thin">
        <color indexed="8"/>
      </bottom>
    </border>
    <border>
      <left style="thin"/>
      <right style="thin"/>
      <top style="thin"/>
      <bottom style="thin"/>
    </border>
    <border>
      <left>
        <color indexed="63"/>
      </left>
      <right style="thin"/>
      <top style="thin"/>
      <bottom style="thin"/>
    </border>
    <border>
      <left style="thin">
        <color indexed="8"/>
      </left>
      <right style="hair">
        <color indexed="50"/>
      </right>
      <top style="hair">
        <color indexed="12"/>
      </top>
      <bottom style="thin">
        <color indexed="12"/>
      </bottom>
    </border>
    <border>
      <left style="hair">
        <color indexed="17"/>
      </left>
      <right style="hair">
        <color indexed="17"/>
      </right>
      <top style="hair">
        <color indexed="8"/>
      </top>
      <bottom style="thin"/>
    </border>
    <border>
      <left style="hair">
        <color indexed="12"/>
      </left>
      <right style="hair">
        <color indexed="12"/>
      </right>
      <top style="hair">
        <color indexed="12"/>
      </top>
      <bottom style="thin">
        <color indexed="8"/>
      </bottom>
    </border>
    <border>
      <left style="hair">
        <color indexed="17"/>
      </left>
      <right style="hair">
        <color indexed="17"/>
      </right>
      <top>
        <color indexed="63"/>
      </top>
      <bottom>
        <color indexed="63"/>
      </bottom>
    </border>
    <border>
      <left>
        <color indexed="63"/>
      </left>
      <right>
        <color indexed="63"/>
      </right>
      <top style="hair">
        <color indexed="10"/>
      </top>
      <bottom style="hair">
        <color indexed="53"/>
      </bottom>
    </border>
    <border>
      <left style="hair">
        <color indexed="10"/>
      </left>
      <right style="hair">
        <color indexed="10"/>
      </right>
      <top style="hair">
        <color indexed="10"/>
      </top>
      <bottom>
        <color indexed="63"/>
      </bottom>
    </border>
    <border>
      <left style="hair">
        <color indexed="10"/>
      </left>
      <right style="hair">
        <color indexed="10"/>
      </right>
      <top>
        <color indexed="63"/>
      </top>
      <bottom style="hair">
        <color indexed="10"/>
      </bottom>
    </border>
    <border>
      <left>
        <color indexed="63"/>
      </left>
      <right>
        <color indexed="63"/>
      </right>
      <top style="hair">
        <color indexed="10"/>
      </top>
      <bottom style="hair">
        <color indexed="10"/>
      </bottom>
    </border>
    <border>
      <left>
        <color indexed="63"/>
      </left>
      <right style="hair">
        <color indexed="10"/>
      </right>
      <top style="hair">
        <color indexed="10"/>
      </top>
      <bottom style="hair">
        <color indexed="10"/>
      </bottom>
    </border>
    <border>
      <left>
        <color indexed="63"/>
      </left>
      <right>
        <color indexed="63"/>
      </right>
      <top style="hair">
        <color indexed="12"/>
      </top>
      <bottom style="thin">
        <color indexed="8"/>
      </bottom>
    </border>
    <border>
      <left style="thin">
        <color indexed="8"/>
      </left>
      <right>
        <color indexed="63"/>
      </right>
      <top style="hair">
        <color indexed="53"/>
      </top>
      <bottom>
        <color indexed="63"/>
      </bottom>
    </border>
    <border>
      <left>
        <color indexed="63"/>
      </left>
      <right>
        <color indexed="63"/>
      </right>
      <top style="hair">
        <color indexed="53"/>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53"/>
      </left>
      <right>
        <color indexed="63"/>
      </right>
      <top style="hair">
        <color indexed="10"/>
      </top>
      <bottom style="hair">
        <color indexed="53"/>
      </bottom>
    </border>
    <border>
      <left style="thick">
        <color indexed="23"/>
      </left>
      <right style="thick">
        <color indexed="23"/>
      </right>
      <top>
        <color indexed="63"/>
      </top>
      <bottom style="thick">
        <color indexed="23"/>
      </bottom>
    </border>
    <border>
      <left style="thick">
        <color indexed="10"/>
      </left>
      <right style="thick">
        <color indexed="10"/>
      </right>
      <top style="thick">
        <color indexed="10"/>
      </top>
      <bottom>
        <color indexed="63"/>
      </bottom>
    </border>
    <border>
      <left style="thick">
        <color indexed="17"/>
      </left>
      <right style="thick">
        <color indexed="17"/>
      </right>
      <top style="thick">
        <color indexed="17"/>
      </top>
      <bottom>
        <color indexed="63"/>
      </bottom>
    </border>
    <border>
      <left style="thick">
        <color indexed="12"/>
      </left>
      <right style="thick">
        <color indexed="12"/>
      </right>
      <top style="thick">
        <color indexed="12"/>
      </top>
      <bottom>
        <color indexed="63"/>
      </bottom>
    </border>
    <border>
      <left style="thick">
        <color indexed="8"/>
      </left>
      <right style="thick">
        <color indexed="8"/>
      </right>
      <top style="thick">
        <color indexed="8"/>
      </top>
      <bottom>
        <color indexed="63"/>
      </bottom>
    </border>
    <border>
      <left style="thick">
        <color indexed="8"/>
      </left>
      <right style="thick">
        <color indexed="8"/>
      </right>
      <top>
        <color indexed="63"/>
      </top>
      <bottom style="thick">
        <color indexed="8"/>
      </bottom>
    </border>
    <border>
      <left style="thick">
        <color indexed="10"/>
      </left>
      <right style="thick">
        <color indexed="10"/>
      </right>
      <top>
        <color indexed="63"/>
      </top>
      <bottom style="thick">
        <color indexed="10"/>
      </bottom>
    </border>
    <border>
      <left style="thick">
        <color indexed="17"/>
      </left>
      <right style="thick">
        <color indexed="17"/>
      </right>
      <top>
        <color indexed="63"/>
      </top>
      <bottom style="thick">
        <color indexed="17"/>
      </bottom>
    </border>
    <border>
      <left style="thick">
        <color indexed="12"/>
      </left>
      <right style="thick">
        <color indexed="12"/>
      </right>
      <top>
        <color indexed="63"/>
      </top>
      <bottom style="thick">
        <color indexed="12"/>
      </bottom>
    </border>
    <border>
      <left style="thick">
        <color indexed="23"/>
      </left>
      <right style="thick">
        <color indexed="23"/>
      </right>
      <top style="thick">
        <color indexed="23"/>
      </top>
      <bottom>
        <color indexed="63"/>
      </bottom>
    </border>
    <border>
      <left style="medium"/>
      <right style="medium"/>
      <top style="medium"/>
      <bottom>
        <color indexed="63"/>
      </bottom>
    </border>
    <border>
      <left style="medium"/>
      <right style="medium"/>
      <top>
        <color indexed="63"/>
      </top>
      <bottom style="medium"/>
    </border>
    <border>
      <left style="thin"/>
      <right>
        <color indexed="63"/>
      </right>
      <top style="hair">
        <color indexed="10"/>
      </top>
      <bottom style="hair">
        <color indexed="10"/>
      </bottom>
    </border>
    <border>
      <left style="hair">
        <color indexed="8"/>
      </left>
      <right>
        <color indexed="63"/>
      </right>
      <top style="hair">
        <color indexed="8"/>
      </top>
      <bottom style="hair">
        <color indexed="8"/>
      </bottom>
    </border>
    <border>
      <left style="double">
        <color indexed="8"/>
      </left>
      <right>
        <color indexed="63"/>
      </right>
      <top style="thin">
        <color indexed="8"/>
      </top>
      <bottom style="hair">
        <color indexed="8"/>
      </bottom>
    </border>
    <border>
      <left>
        <color indexed="63"/>
      </left>
      <right style="double">
        <color indexed="8"/>
      </right>
      <top style="thin">
        <color indexed="8"/>
      </top>
      <bottom style="hair">
        <color indexed="8"/>
      </bottom>
    </border>
    <border>
      <left style="double">
        <color indexed="8"/>
      </left>
      <right>
        <color indexed="63"/>
      </right>
      <top style="hair">
        <color indexed="8"/>
      </top>
      <bottom style="hair">
        <color indexed="8"/>
      </bottom>
    </border>
    <border>
      <left>
        <color indexed="63"/>
      </left>
      <right style="double">
        <color indexed="8"/>
      </right>
      <top style="hair">
        <color indexed="8"/>
      </top>
      <bottom style="hair">
        <color indexed="8"/>
      </bottom>
    </border>
    <border>
      <left style="thin"/>
      <right>
        <color indexed="63"/>
      </right>
      <top>
        <color indexed="63"/>
      </top>
      <bottom style="thin"/>
    </border>
    <border>
      <left>
        <color indexed="63"/>
      </left>
      <right style="hair">
        <color indexed="17"/>
      </right>
      <top>
        <color indexed="63"/>
      </top>
      <bottom style="thin"/>
    </border>
    <border>
      <left style="hair">
        <color indexed="8"/>
      </left>
      <right style="hair">
        <color indexed="8"/>
      </right>
      <top style="hair">
        <color indexed="8"/>
      </top>
      <bottom style="hair">
        <color indexed="8"/>
      </bottom>
    </border>
    <border>
      <left style="thin">
        <color indexed="8"/>
      </left>
      <right>
        <color indexed="63"/>
      </right>
      <top>
        <color indexed="63"/>
      </top>
      <bottom style="hair">
        <color indexed="53"/>
      </bottom>
    </border>
    <border>
      <left>
        <color indexed="63"/>
      </left>
      <right>
        <color indexed="63"/>
      </right>
      <top>
        <color indexed="63"/>
      </top>
      <bottom style="hair">
        <color indexed="53"/>
      </bottom>
    </border>
    <border>
      <left style="thin"/>
      <right>
        <color indexed="63"/>
      </right>
      <top>
        <color indexed="63"/>
      </top>
      <bottom>
        <color indexed="63"/>
      </bottom>
    </border>
    <border>
      <left style="hair">
        <color indexed="12"/>
      </left>
      <right>
        <color indexed="63"/>
      </right>
      <top style="hair">
        <color indexed="12"/>
      </top>
      <bottom style="hair">
        <color indexed="12"/>
      </bottom>
    </border>
    <border>
      <left>
        <color indexed="63"/>
      </left>
      <right style="hair">
        <color indexed="12"/>
      </right>
      <top style="hair">
        <color indexed="12"/>
      </top>
      <bottom style="hair">
        <color indexed="12"/>
      </bottom>
    </border>
    <border>
      <left style="hair">
        <color indexed="12"/>
      </left>
      <right>
        <color indexed="63"/>
      </right>
      <top>
        <color indexed="63"/>
      </top>
      <bottom>
        <color indexed="63"/>
      </bottom>
    </border>
    <border>
      <left style="thin">
        <color rgb="FFFF0000"/>
      </left>
      <right>
        <color indexed="63"/>
      </right>
      <top style="thin">
        <color rgb="FFFF0000"/>
      </top>
      <bottom style="thin">
        <color rgb="FFFF0000"/>
      </bottom>
    </border>
    <border>
      <left>
        <color indexed="63"/>
      </left>
      <right>
        <color indexed="63"/>
      </right>
      <top style="thin">
        <color rgb="FFFF0000"/>
      </top>
      <bottom style="thin">
        <color rgb="FFFF0000"/>
      </bottom>
    </border>
    <border>
      <left>
        <color indexed="63"/>
      </left>
      <right style="thin">
        <color rgb="FFFF0000"/>
      </right>
      <top style="thin">
        <color rgb="FFFF0000"/>
      </top>
      <bottom style="thin">
        <color rgb="FFFF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3" fillId="2" borderId="0" applyNumberFormat="0" applyBorder="0" applyAlignment="0" applyProtection="0"/>
    <xf numFmtId="0" fontId="103" fillId="3" borderId="0" applyNumberFormat="0" applyBorder="0" applyAlignment="0" applyProtection="0"/>
    <xf numFmtId="0" fontId="103" fillId="4" borderId="0" applyNumberFormat="0" applyBorder="0" applyAlignment="0" applyProtection="0"/>
    <xf numFmtId="0" fontId="103" fillId="5" borderId="0" applyNumberFormat="0" applyBorder="0" applyAlignment="0" applyProtection="0"/>
    <xf numFmtId="0" fontId="103" fillId="6" borderId="0" applyNumberFormat="0" applyBorder="0" applyAlignment="0" applyProtection="0"/>
    <xf numFmtId="0" fontId="103" fillId="7" borderId="0" applyNumberFormat="0" applyBorder="0" applyAlignment="0" applyProtection="0"/>
    <xf numFmtId="0" fontId="103" fillId="8" borderId="0" applyNumberFormat="0" applyBorder="0" applyAlignment="0" applyProtection="0"/>
    <xf numFmtId="0" fontId="103" fillId="9" borderId="0" applyNumberFormat="0" applyBorder="0" applyAlignment="0" applyProtection="0"/>
    <xf numFmtId="0" fontId="103" fillId="10" borderId="0" applyNumberFormat="0" applyBorder="0" applyAlignment="0" applyProtection="0"/>
    <xf numFmtId="0" fontId="103" fillId="11" borderId="0" applyNumberFormat="0" applyBorder="0" applyAlignment="0" applyProtection="0"/>
    <xf numFmtId="0" fontId="103" fillId="12" borderId="0" applyNumberFormat="0" applyBorder="0" applyAlignment="0" applyProtection="0"/>
    <xf numFmtId="0" fontId="103" fillId="13" borderId="0" applyNumberFormat="0" applyBorder="0" applyAlignment="0" applyProtection="0"/>
    <xf numFmtId="0" fontId="104" fillId="14" borderId="0" applyNumberFormat="0" applyBorder="0" applyAlignment="0" applyProtection="0"/>
    <xf numFmtId="0" fontId="104" fillId="15" borderId="0" applyNumberFormat="0" applyBorder="0" applyAlignment="0" applyProtection="0"/>
    <xf numFmtId="0" fontId="104"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104" fillId="19" borderId="0" applyNumberFormat="0" applyBorder="0" applyAlignment="0" applyProtection="0"/>
    <xf numFmtId="0" fontId="104"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104" fillId="23"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105" fillId="26" borderId="0" applyNumberFormat="0" applyBorder="0" applyAlignment="0" applyProtection="0"/>
    <xf numFmtId="0" fontId="106" fillId="27" borderId="1" applyNumberFormat="0" applyAlignment="0" applyProtection="0"/>
    <xf numFmtId="0" fontId="107"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8" fillId="0" borderId="0" applyNumberFormat="0" applyFill="0" applyBorder="0" applyAlignment="0" applyProtection="0"/>
    <xf numFmtId="0" fontId="109" fillId="29" borderId="0" applyNumberFormat="0" applyBorder="0" applyAlignment="0" applyProtection="0"/>
    <xf numFmtId="0" fontId="110" fillId="0" borderId="3" applyNumberFormat="0" applyFill="0" applyAlignment="0" applyProtection="0"/>
    <xf numFmtId="0" fontId="111" fillId="0" borderId="4" applyNumberFormat="0" applyFill="0" applyAlignment="0" applyProtection="0"/>
    <xf numFmtId="0" fontId="112" fillId="0" borderId="5" applyNumberFormat="0" applyFill="0" applyAlignment="0" applyProtection="0"/>
    <xf numFmtId="0" fontId="112" fillId="0" borderId="0" applyNumberFormat="0" applyFill="0" applyBorder="0" applyAlignment="0" applyProtection="0"/>
    <xf numFmtId="0" fontId="113" fillId="30" borderId="1" applyNumberFormat="0" applyAlignment="0" applyProtection="0"/>
    <xf numFmtId="0" fontId="114" fillId="0" borderId="6" applyNumberFormat="0" applyFill="0" applyAlignment="0" applyProtection="0"/>
    <xf numFmtId="0" fontId="115" fillId="31" borderId="0" applyNumberFormat="0" applyBorder="0" applyAlignment="0" applyProtection="0"/>
    <xf numFmtId="0" fontId="0" fillId="32" borderId="7" applyNumberFormat="0" applyFont="0" applyAlignment="0" applyProtection="0"/>
    <xf numFmtId="0" fontId="116" fillId="27" borderId="8" applyNumberFormat="0" applyAlignment="0" applyProtection="0"/>
    <xf numFmtId="9" fontId="0" fillId="0" borderId="0" applyFill="0" applyBorder="0" applyAlignment="0" applyProtection="0"/>
    <xf numFmtId="0" fontId="0" fillId="0" borderId="0">
      <alignment/>
      <protection/>
    </xf>
    <xf numFmtId="0" fontId="117" fillId="0" borderId="0" applyNumberFormat="0" applyFill="0" applyBorder="0" applyAlignment="0" applyProtection="0"/>
    <xf numFmtId="0" fontId="118" fillId="0" borderId="9" applyNumberFormat="0" applyFill="0" applyAlignment="0" applyProtection="0"/>
    <xf numFmtId="0" fontId="119" fillId="0" borderId="0" applyNumberFormat="0" applyFill="0" applyBorder="0" applyAlignment="0" applyProtection="0"/>
  </cellStyleXfs>
  <cellXfs count="540">
    <xf numFmtId="0" fontId="0" fillId="0" borderId="0" xfId="0" applyAlignment="1">
      <alignment/>
    </xf>
    <xf numFmtId="0" fontId="1" fillId="33" borderId="0" xfId="0" applyFont="1" applyFill="1" applyAlignment="1">
      <alignment/>
    </xf>
    <xf numFmtId="0" fontId="0" fillId="33" borderId="0" xfId="0" applyFill="1" applyAlignment="1">
      <alignment/>
    </xf>
    <xf numFmtId="49" fontId="3" fillId="33" borderId="0" xfId="0" applyNumberFormat="1" applyFont="1" applyFill="1" applyBorder="1" applyAlignment="1" applyProtection="1">
      <alignment vertical="center"/>
      <protection/>
    </xf>
    <xf numFmtId="49" fontId="4" fillId="33" borderId="10" xfId="0" applyNumberFormat="1" applyFont="1" applyFill="1" applyBorder="1" applyAlignment="1" applyProtection="1">
      <alignment horizontal="right" vertical="center"/>
      <protection/>
    </xf>
    <xf numFmtId="0" fontId="1" fillId="33" borderId="0" xfId="0" applyFont="1" applyFill="1" applyAlignment="1" applyProtection="1">
      <alignment/>
      <protection/>
    </xf>
    <xf numFmtId="49" fontId="7" fillId="33" borderId="0" xfId="0" applyNumberFormat="1" applyFont="1" applyFill="1" applyBorder="1" applyAlignment="1" applyProtection="1">
      <alignment horizontal="right" vertical="center"/>
      <protection/>
    </xf>
    <xf numFmtId="180" fontId="9" fillId="34" borderId="0" xfId="0" applyNumberFormat="1" applyFont="1" applyFill="1" applyBorder="1" applyAlignment="1" applyProtection="1">
      <alignment horizontal="center" vertical="center"/>
      <protection/>
    </xf>
    <xf numFmtId="180" fontId="10" fillId="34" borderId="0" xfId="0" applyNumberFormat="1" applyFont="1" applyFill="1" applyBorder="1" applyAlignment="1" applyProtection="1">
      <alignment horizontal="center" vertical="center"/>
      <protection/>
    </xf>
    <xf numFmtId="0" fontId="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13" fillId="33" borderId="0" xfId="0" applyFont="1" applyFill="1" applyAlignment="1">
      <alignment/>
    </xf>
    <xf numFmtId="0" fontId="14" fillId="33" borderId="0" xfId="0" applyFont="1" applyFill="1" applyBorder="1" applyAlignment="1">
      <alignment/>
    </xf>
    <xf numFmtId="0" fontId="7" fillId="33" borderId="0" xfId="0" applyFont="1" applyFill="1" applyBorder="1" applyAlignment="1" applyProtection="1">
      <alignment horizontal="right"/>
      <protection/>
    </xf>
    <xf numFmtId="182" fontId="15" fillId="35" borderId="11" xfId="0" applyNumberFormat="1" applyFont="1" applyFill="1" applyBorder="1" applyAlignment="1" applyProtection="1">
      <alignment horizontal="center" vertical="center"/>
      <protection locked="0"/>
    </xf>
    <xf numFmtId="183" fontId="17" fillId="35" borderId="11" xfId="0" applyNumberFormat="1" applyFont="1" applyFill="1" applyBorder="1" applyAlignment="1" applyProtection="1">
      <alignment horizontal="center" vertical="center"/>
      <protection locked="0"/>
    </xf>
    <xf numFmtId="0" fontId="7" fillId="33" borderId="0" xfId="0" applyFont="1" applyFill="1" applyBorder="1" applyAlignment="1">
      <alignment horizontal="right" vertical="center"/>
    </xf>
    <xf numFmtId="0" fontId="14" fillId="33" borderId="0" xfId="0" applyFont="1" applyFill="1" applyAlignment="1">
      <alignment/>
    </xf>
    <xf numFmtId="0" fontId="3" fillId="33" borderId="0" xfId="0" applyFont="1" applyFill="1" applyAlignment="1">
      <alignment horizontal="right"/>
    </xf>
    <xf numFmtId="180" fontId="17" fillId="35" borderId="11" xfId="0" applyNumberFormat="1" applyFont="1" applyFill="1" applyBorder="1" applyAlignment="1" applyProtection="1">
      <alignment horizontal="center" vertical="center"/>
      <protection locked="0"/>
    </xf>
    <xf numFmtId="0" fontId="7" fillId="33" borderId="0" xfId="0" applyFont="1" applyFill="1" applyAlignment="1">
      <alignment horizontal="left" vertical="center"/>
    </xf>
    <xf numFmtId="49" fontId="3" fillId="33" borderId="0" xfId="0" applyNumberFormat="1" applyFont="1" applyFill="1" applyBorder="1" applyAlignment="1" applyProtection="1">
      <alignment horizontal="center" vertical="center"/>
      <protection locked="0"/>
    </xf>
    <xf numFmtId="0" fontId="1" fillId="33" borderId="0" xfId="0" applyFont="1" applyFill="1" applyBorder="1" applyAlignment="1">
      <alignment/>
    </xf>
    <xf numFmtId="180" fontId="15" fillId="35" borderId="11" xfId="0" applyNumberFormat="1" applyFont="1" applyFill="1" applyBorder="1" applyAlignment="1" applyProtection="1">
      <alignment horizontal="center" vertical="center"/>
      <protection locked="0"/>
    </xf>
    <xf numFmtId="0" fontId="17" fillId="35" borderId="11" xfId="0" applyNumberFormat="1" applyFont="1" applyFill="1" applyBorder="1" applyAlignment="1" applyProtection="1">
      <alignment horizontal="center" vertical="center"/>
      <protection locked="0"/>
    </xf>
    <xf numFmtId="0" fontId="21" fillId="36" borderId="12" xfId="0" applyNumberFormat="1" applyFont="1" applyFill="1" applyBorder="1" applyAlignment="1" applyProtection="1">
      <alignment horizontal="center" vertical="center"/>
      <protection/>
    </xf>
    <xf numFmtId="0" fontId="22" fillId="37" borderId="13" xfId="0" applyNumberFormat="1" applyFont="1" applyFill="1" applyBorder="1" applyAlignment="1" applyProtection="1">
      <alignment horizontal="center" vertical="center"/>
      <protection/>
    </xf>
    <xf numFmtId="1" fontId="23" fillId="0" borderId="13" xfId="0" applyNumberFormat="1" applyFont="1" applyBorder="1" applyAlignment="1" applyProtection="1">
      <alignment horizontal="center" vertical="center"/>
      <protection/>
    </xf>
    <xf numFmtId="0" fontId="22" fillId="37" borderId="14" xfId="0" applyNumberFormat="1" applyFont="1" applyFill="1" applyBorder="1" applyAlignment="1" applyProtection="1">
      <alignment horizontal="center" vertical="center"/>
      <protection/>
    </xf>
    <xf numFmtId="0" fontId="26" fillId="38" borderId="15" xfId="0" applyNumberFormat="1" applyFont="1" applyFill="1" applyBorder="1" applyAlignment="1" applyProtection="1">
      <alignment horizontal="left" vertical="center"/>
      <protection locked="0"/>
    </xf>
    <xf numFmtId="185" fontId="7" fillId="38" borderId="16" xfId="0" applyNumberFormat="1" applyFont="1" applyFill="1" applyBorder="1" applyAlignment="1" applyProtection="1">
      <alignment horizontal="center" vertical="center"/>
      <protection locked="0"/>
    </xf>
    <xf numFmtId="2" fontId="25" fillId="38" borderId="0" xfId="0" applyNumberFormat="1" applyFont="1" applyFill="1" applyBorder="1" applyAlignment="1" applyProtection="1">
      <alignment horizontal="center" vertical="center"/>
      <protection/>
    </xf>
    <xf numFmtId="180" fontId="25" fillId="38" borderId="17" xfId="0" applyNumberFormat="1" applyFont="1" applyFill="1" applyBorder="1" applyAlignment="1" applyProtection="1">
      <alignment horizontal="center" vertical="center"/>
      <protection/>
    </xf>
    <xf numFmtId="0" fontId="22" fillId="33" borderId="0" xfId="0" applyFont="1" applyFill="1" applyAlignment="1">
      <alignment/>
    </xf>
    <xf numFmtId="0" fontId="26" fillId="0" borderId="15" xfId="0" applyNumberFormat="1" applyFont="1" applyFill="1" applyBorder="1" applyAlignment="1" applyProtection="1">
      <alignment horizontal="left" vertical="center"/>
      <protection locked="0"/>
    </xf>
    <xf numFmtId="185" fontId="7" fillId="0" borderId="18" xfId="0" applyNumberFormat="1" applyFont="1" applyBorder="1" applyAlignment="1" applyProtection="1">
      <alignment horizontal="center" vertical="center"/>
      <protection locked="0"/>
    </xf>
    <xf numFmtId="2" fontId="25" fillId="0" borderId="0" xfId="0" applyNumberFormat="1" applyFont="1" applyBorder="1" applyAlignment="1" applyProtection="1">
      <alignment horizontal="center" vertical="center"/>
      <protection/>
    </xf>
    <xf numFmtId="180" fontId="25" fillId="0" borderId="17" xfId="0" applyNumberFormat="1" applyFont="1" applyFill="1" applyBorder="1" applyAlignment="1" applyProtection="1">
      <alignment horizontal="center" vertical="center"/>
      <protection/>
    </xf>
    <xf numFmtId="0" fontId="0" fillId="39" borderId="0" xfId="0" applyFont="1" applyFill="1" applyAlignment="1">
      <alignment vertical="center"/>
    </xf>
    <xf numFmtId="0" fontId="0" fillId="39" borderId="0" xfId="0" applyFill="1" applyAlignment="1">
      <alignment/>
    </xf>
    <xf numFmtId="185" fontId="7" fillId="38" borderId="18" xfId="0" applyNumberFormat="1" applyFont="1" applyFill="1" applyBorder="1" applyAlignment="1" applyProtection="1">
      <alignment horizontal="center" vertical="center"/>
      <protection locked="0"/>
    </xf>
    <xf numFmtId="0" fontId="10" fillId="39" borderId="0" xfId="0" applyFont="1" applyFill="1" applyAlignment="1">
      <alignment/>
    </xf>
    <xf numFmtId="185" fontId="7" fillId="0" borderId="19" xfId="0" applyNumberFormat="1" applyFont="1" applyBorder="1" applyAlignment="1" applyProtection="1">
      <alignment horizontal="center" vertical="center"/>
      <protection locked="0"/>
    </xf>
    <xf numFmtId="180" fontId="25" fillId="0" borderId="17" xfId="0" applyNumberFormat="1" applyFont="1" applyBorder="1" applyAlignment="1" applyProtection="1">
      <alignment horizontal="center" vertical="center"/>
      <protection/>
    </xf>
    <xf numFmtId="0" fontId="32" fillId="33" borderId="0" xfId="0" applyFont="1" applyFill="1" applyBorder="1" applyAlignment="1" applyProtection="1">
      <alignment horizontal="center" vertical="center"/>
      <protection/>
    </xf>
    <xf numFmtId="0" fontId="1" fillId="39" borderId="0" xfId="0" applyFont="1" applyFill="1" applyAlignment="1">
      <alignment/>
    </xf>
    <xf numFmtId="188" fontId="25" fillId="35" borderId="20" xfId="0" applyNumberFormat="1" applyFont="1" applyFill="1" applyBorder="1" applyAlignment="1" applyProtection="1">
      <alignment horizontal="center" vertical="center"/>
      <protection/>
    </xf>
    <xf numFmtId="189" fontId="25" fillId="35" borderId="21" xfId="0" applyNumberFormat="1" applyFont="1" applyFill="1" applyBorder="1" applyAlignment="1" applyProtection="1">
      <alignment horizontal="center" vertical="center"/>
      <protection/>
    </xf>
    <xf numFmtId="190" fontId="25" fillId="35" borderId="22" xfId="0" applyNumberFormat="1" applyFont="1" applyFill="1" applyBorder="1" applyAlignment="1" applyProtection="1">
      <alignment horizontal="center" vertical="center"/>
      <protection/>
    </xf>
    <xf numFmtId="185" fontId="7" fillId="38" borderId="19" xfId="0" applyNumberFormat="1" applyFont="1" applyFill="1" applyBorder="1" applyAlignment="1" applyProtection="1">
      <alignment horizontal="center" vertical="center"/>
      <protection locked="0"/>
    </xf>
    <xf numFmtId="0" fontId="22" fillId="0" borderId="23" xfId="0" applyNumberFormat="1" applyFont="1" applyFill="1" applyBorder="1" applyAlignment="1" applyProtection="1">
      <alignment horizontal="left" vertical="center"/>
      <protection locked="0"/>
    </xf>
    <xf numFmtId="185" fontId="7" fillId="0" borderId="24" xfId="0" applyNumberFormat="1" applyFont="1" applyFill="1" applyBorder="1" applyAlignment="1" applyProtection="1">
      <alignment horizontal="center" vertical="center"/>
      <protection locked="0"/>
    </xf>
    <xf numFmtId="2" fontId="25" fillId="0" borderId="25" xfId="0" applyNumberFormat="1" applyFont="1" applyFill="1" applyBorder="1" applyAlignment="1" applyProtection="1">
      <alignment horizontal="center" vertical="center"/>
      <protection/>
    </xf>
    <xf numFmtId="180" fontId="25" fillId="0" borderId="26" xfId="0" applyNumberFormat="1" applyFont="1" applyFill="1" applyBorder="1" applyAlignment="1" applyProtection="1">
      <alignment horizontal="center" vertical="center"/>
      <protection/>
    </xf>
    <xf numFmtId="180" fontId="28" fillId="0" borderId="24" xfId="0" applyNumberFormat="1" applyFont="1" applyBorder="1" applyAlignment="1" applyProtection="1">
      <alignment horizontal="center" vertical="center"/>
      <protection/>
    </xf>
    <xf numFmtId="0" fontId="13" fillId="33" borderId="0" xfId="0" applyFont="1" applyFill="1" applyBorder="1" applyAlignment="1" applyProtection="1">
      <alignment horizontal="right"/>
      <protection/>
    </xf>
    <xf numFmtId="0" fontId="22" fillId="34" borderId="15" xfId="0" applyNumberFormat="1" applyFont="1" applyFill="1" applyBorder="1" applyAlignment="1" applyProtection="1">
      <alignment horizontal="left" vertical="center"/>
      <protection locked="0"/>
    </xf>
    <xf numFmtId="180" fontId="25" fillId="34" borderId="17" xfId="0" applyNumberFormat="1" applyFont="1" applyFill="1" applyBorder="1" applyAlignment="1" applyProtection="1">
      <alignment horizontal="center" vertical="center"/>
      <protection/>
    </xf>
    <xf numFmtId="180" fontId="28" fillId="34" borderId="18" xfId="0" applyNumberFormat="1" applyFont="1" applyFill="1" applyBorder="1" applyAlignment="1" applyProtection="1">
      <alignment horizontal="center" vertical="center"/>
      <protection/>
    </xf>
    <xf numFmtId="0" fontId="15" fillId="35" borderId="27" xfId="0" applyNumberFormat="1" applyFont="1" applyFill="1" applyBorder="1" applyAlignment="1" applyProtection="1">
      <alignment horizontal="center" vertical="center"/>
      <protection locked="0"/>
    </xf>
    <xf numFmtId="0" fontId="13" fillId="33" borderId="0" xfId="0" applyFont="1" applyFill="1" applyAlignment="1">
      <alignment horizontal="left"/>
    </xf>
    <xf numFmtId="0" fontId="22" fillId="0" borderId="15" xfId="0" applyNumberFormat="1" applyFont="1" applyFill="1" applyBorder="1" applyAlignment="1" applyProtection="1">
      <alignment horizontal="left" vertical="center"/>
      <protection locked="0"/>
    </xf>
    <xf numFmtId="180" fontId="28" fillId="0" borderId="18" xfId="0" applyNumberFormat="1" applyFont="1" applyBorder="1" applyAlignment="1" applyProtection="1">
      <alignment horizontal="center" vertical="center"/>
      <protection/>
    </xf>
    <xf numFmtId="180" fontId="25" fillId="0" borderId="28" xfId="0" applyNumberFormat="1" applyFont="1" applyFill="1" applyBorder="1" applyAlignment="1" applyProtection="1">
      <alignment horizontal="center" vertical="center"/>
      <protection/>
    </xf>
    <xf numFmtId="180" fontId="28" fillId="0" borderId="29" xfId="0" applyNumberFormat="1" applyFont="1" applyFill="1" applyBorder="1" applyAlignment="1" applyProtection="1">
      <alignment horizontal="center" vertical="center"/>
      <protection/>
    </xf>
    <xf numFmtId="180" fontId="3" fillId="34" borderId="30" xfId="0" applyNumberFormat="1" applyFont="1" applyFill="1" applyBorder="1" applyAlignment="1" applyProtection="1">
      <alignment horizontal="center" vertical="center"/>
      <protection locked="0"/>
    </xf>
    <xf numFmtId="180" fontId="25" fillId="34" borderId="31" xfId="0" applyNumberFormat="1" applyFont="1" applyFill="1" applyBorder="1" applyAlignment="1" applyProtection="1">
      <alignment horizontal="center" vertical="center"/>
      <protection/>
    </xf>
    <xf numFmtId="180" fontId="28" fillId="34" borderId="30" xfId="0" applyNumberFormat="1" applyFont="1" applyFill="1" applyBorder="1" applyAlignment="1" applyProtection="1">
      <alignment horizontal="center" vertical="center"/>
      <protection/>
    </xf>
    <xf numFmtId="0" fontId="1" fillId="33" borderId="0" xfId="0" applyFont="1" applyFill="1" applyBorder="1" applyAlignment="1" applyProtection="1">
      <alignment horizontal="center" vertical="center"/>
      <protection/>
    </xf>
    <xf numFmtId="192" fontId="31" fillId="35" borderId="32" xfId="0" applyNumberFormat="1" applyFont="1" applyFill="1" applyBorder="1" applyAlignment="1" applyProtection="1">
      <alignment horizontal="center" vertical="center"/>
      <protection/>
    </xf>
    <xf numFmtId="189" fontId="34" fillId="35" borderId="32" xfId="0" applyNumberFormat="1" applyFont="1" applyFill="1" applyBorder="1" applyAlignment="1" applyProtection="1">
      <alignment horizontal="center" vertical="center"/>
      <protection/>
    </xf>
    <xf numFmtId="0" fontId="0" fillId="33" borderId="0" xfId="0" applyFill="1" applyBorder="1" applyAlignment="1">
      <alignment/>
    </xf>
    <xf numFmtId="0" fontId="3" fillId="0" borderId="0" xfId="0" applyNumberFormat="1" applyFont="1" applyFill="1" applyBorder="1" applyAlignment="1" applyProtection="1">
      <alignment horizontal="right" vertical="center"/>
      <protection/>
    </xf>
    <xf numFmtId="0" fontId="7" fillId="33" borderId="0" xfId="0" applyFont="1" applyFill="1" applyAlignment="1">
      <alignment horizontal="right" vertical="center"/>
    </xf>
    <xf numFmtId="0" fontId="42" fillId="0" borderId="33" xfId="0" applyNumberFormat="1" applyFont="1" applyBorder="1" applyAlignment="1" applyProtection="1">
      <alignment horizontal="right" vertical="center"/>
      <protection locked="0"/>
    </xf>
    <xf numFmtId="184" fontId="31" fillId="35" borderId="34" xfId="0" applyNumberFormat="1" applyFont="1" applyFill="1" applyBorder="1" applyAlignment="1" applyProtection="1">
      <alignment horizontal="center" vertical="center"/>
      <protection/>
    </xf>
    <xf numFmtId="195" fontId="31" fillId="35" borderId="34" xfId="0" applyNumberFormat="1" applyFont="1" applyFill="1" applyBorder="1" applyAlignment="1" applyProtection="1">
      <alignment horizontal="right" vertical="center"/>
      <protection/>
    </xf>
    <xf numFmtId="0" fontId="34" fillId="33" borderId="35" xfId="0" applyNumberFormat="1" applyFont="1" applyFill="1" applyBorder="1" applyAlignment="1" applyProtection="1">
      <alignment horizontal="right" vertical="center"/>
      <protection/>
    </xf>
    <xf numFmtId="196" fontId="31" fillId="33" borderId="0" xfId="0" applyNumberFormat="1" applyFont="1" applyFill="1" applyBorder="1" applyAlignment="1" applyProtection="1">
      <alignment horizontal="center" vertical="center"/>
      <protection/>
    </xf>
    <xf numFmtId="186" fontId="31" fillId="33" borderId="36" xfId="0" applyNumberFormat="1" applyFont="1" applyFill="1" applyBorder="1" applyAlignment="1" applyProtection="1">
      <alignment horizontal="center" vertical="center"/>
      <protection/>
    </xf>
    <xf numFmtId="197" fontId="31" fillId="33" borderId="37" xfId="0" applyNumberFormat="1" applyFont="1" applyFill="1" applyBorder="1" applyAlignment="1" applyProtection="1">
      <alignment horizontal="center" vertical="center"/>
      <protection/>
    </xf>
    <xf numFmtId="0" fontId="44" fillId="35" borderId="10" xfId="0" applyNumberFormat="1" applyFont="1" applyFill="1" applyBorder="1" applyAlignment="1" applyProtection="1">
      <alignment horizontal="right" vertical="center"/>
      <protection/>
    </xf>
    <xf numFmtId="196" fontId="31" fillId="35" borderId="36" xfId="0" applyNumberFormat="1" applyFont="1" applyFill="1" applyBorder="1" applyAlignment="1" applyProtection="1">
      <alignment horizontal="center" vertical="center"/>
      <protection/>
    </xf>
    <xf numFmtId="186" fontId="31" fillId="35" borderId="0" xfId="0" applyNumberFormat="1" applyFont="1" applyFill="1" applyBorder="1" applyAlignment="1" applyProtection="1">
      <alignment horizontal="center" vertical="center"/>
      <protection/>
    </xf>
    <xf numFmtId="197" fontId="31" fillId="35" borderId="0" xfId="0" applyNumberFormat="1" applyFont="1" applyFill="1" applyBorder="1" applyAlignment="1" applyProtection="1">
      <alignment horizontal="center" vertical="center"/>
      <protection/>
    </xf>
    <xf numFmtId="196" fontId="31" fillId="33" borderId="36" xfId="0" applyNumberFormat="1" applyFont="1" applyFill="1" applyBorder="1" applyAlignment="1" applyProtection="1">
      <alignment horizontal="center" vertical="center"/>
      <protection/>
    </xf>
    <xf numFmtId="180" fontId="39" fillId="35" borderId="38" xfId="0" applyNumberFormat="1" applyFont="1" applyFill="1" applyBorder="1" applyAlignment="1" applyProtection="1">
      <alignment horizontal="center" vertical="center"/>
      <protection/>
    </xf>
    <xf numFmtId="0" fontId="19" fillId="33" borderId="0" xfId="0" applyFont="1" applyFill="1" applyAlignment="1">
      <alignment horizontal="center"/>
    </xf>
    <xf numFmtId="0" fontId="44" fillId="35" borderId="35" xfId="0" applyNumberFormat="1" applyFont="1" applyFill="1" applyBorder="1" applyAlignment="1" applyProtection="1">
      <alignment horizontal="right" vertical="center"/>
      <protection/>
    </xf>
    <xf numFmtId="186" fontId="31" fillId="35" borderId="36" xfId="0" applyNumberFormat="1" applyFont="1" applyFill="1" applyBorder="1" applyAlignment="1" applyProtection="1">
      <alignment horizontal="center" vertical="center"/>
      <protection/>
    </xf>
    <xf numFmtId="0" fontId="31" fillId="33" borderId="39" xfId="0" applyNumberFormat="1" applyFont="1" applyFill="1" applyBorder="1" applyAlignment="1" applyProtection="1">
      <alignment horizontal="right" vertical="center"/>
      <protection/>
    </xf>
    <xf numFmtId="196" fontId="31" fillId="33" borderId="40" xfId="0" applyNumberFormat="1" applyFont="1" applyFill="1" applyBorder="1" applyAlignment="1" applyProtection="1">
      <alignment horizontal="center" vertical="center"/>
      <protection/>
    </xf>
    <xf numFmtId="0" fontId="25" fillId="33" borderId="40" xfId="0" applyNumberFormat="1" applyFont="1" applyFill="1" applyBorder="1" applyAlignment="1" applyProtection="1">
      <alignment horizontal="right" vertical="center"/>
      <protection/>
    </xf>
    <xf numFmtId="180" fontId="31" fillId="35" borderId="41" xfId="0" applyNumberFormat="1" applyFont="1" applyFill="1" applyBorder="1" applyAlignment="1" applyProtection="1">
      <alignment horizontal="center" vertical="center"/>
      <protection/>
    </xf>
    <xf numFmtId="49" fontId="34" fillId="0" borderId="42" xfId="0" applyNumberFormat="1" applyFont="1" applyFill="1" applyBorder="1" applyAlignment="1" applyProtection="1">
      <alignment horizontal="left" vertical="center"/>
      <protection/>
    </xf>
    <xf numFmtId="0" fontId="1" fillId="40" borderId="0" xfId="0" applyFont="1" applyFill="1" applyAlignment="1" applyProtection="1">
      <alignment/>
      <protection/>
    </xf>
    <xf numFmtId="0" fontId="19" fillId="33" borderId="0" xfId="0" applyFont="1" applyFill="1" applyBorder="1" applyAlignment="1" applyProtection="1">
      <alignment horizontal="right"/>
      <protection locked="0"/>
    </xf>
    <xf numFmtId="199" fontId="36" fillId="33" borderId="43" xfId="0" applyNumberFormat="1" applyFont="1" applyFill="1" applyBorder="1" applyAlignment="1" applyProtection="1">
      <alignment horizontal="center"/>
      <protection/>
    </xf>
    <xf numFmtId="196" fontId="31" fillId="35" borderId="44" xfId="0" applyNumberFormat="1" applyFont="1" applyFill="1" applyBorder="1" applyAlignment="1" applyProtection="1">
      <alignment horizontal="left" vertical="center"/>
      <protection/>
    </xf>
    <xf numFmtId="1" fontId="31" fillId="35" borderId="44" xfId="0" applyNumberFormat="1" applyFont="1" applyFill="1" applyBorder="1" applyAlignment="1" applyProtection="1">
      <alignment horizontal="center" vertical="center"/>
      <protection/>
    </xf>
    <xf numFmtId="200" fontId="34" fillId="35" borderId="44" xfId="0" applyNumberFormat="1" applyFont="1" applyFill="1" applyBorder="1" applyAlignment="1" applyProtection="1">
      <alignment horizontal="left" vertical="center"/>
      <protection/>
    </xf>
    <xf numFmtId="201" fontId="34" fillId="35" borderId="44" xfId="0" applyNumberFormat="1" applyFont="1" applyFill="1" applyBorder="1" applyAlignment="1" applyProtection="1">
      <alignment horizontal="center" vertical="center"/>
      <protection/>
    </xf>
    <xf numFmtId="0" fontId="13" fillId="0" borderId="45" xfId="0" applyFont="1" applyBorder="1" applyAlignment="1">
      <alignment horizontal="center" vertical="center"/>
    </xf>
    <xf numFmtId="0" fontId="45" fillId="0" borderId="46" xfId="0" applyFont="1" applyBorder="1" applyAlignment="1">
      <alignment horizontal="center" vertical="center"/>
    </xf>
    <xf numFmtId="0" fontId="22" fillId="33" borderId="0" xfId="0" applyFont="1" applyFill="1" applyAlignment="1">
      <alignment horizontal="left"/>
    </xf>
    <xf numFmtId="0" fontId="46" fillId="0" borderId="47" xfId="0" applyFont="1" applyBorder="1" applyAlignment="1">
      <alignment horizontal="center" vertical="center"/>
    </xf>
    <xf numFmtId="0" fontId="45" fillId="0" borderId="44" xfId="0" applyFont="1" applyBorder="1" applyAlignment="1">
      <alignment horizontal="center" vertical="center"/>
    </xf>
    <xf numFmtId="0" fontId="45" fillId="0" borderId="45" xfId="0" applyFont="1" applyBorder="1" applyAlignment="1">
      <alignment vertical="center"/>
    </xf>
    <xf numFmtId="0" fontId="12" fillId="0" borderId="48" xfId="0" applyFont="1" applyBorder="1" applyAlignment="1">
      <alignment horizontal="center" vertical="center"/>
    </xf>
    <xf numFmtId="180" fontId="3" fillId="0" borderId="0" xfId="0" applyNumberFormat="1" applyFont="1" applyFill="1" applyAlignment="1" applyProtection="1">
      <alignment horizontal="center"/>
      <protection locked="0"/>
    </xf>
    <xf numFmtId="0" fontId="25" fillId="0" borderId="0" xfId="0" applyFont="1" applyFill="1" applyAlignment="1" applyProtection="1">
      <alignment horizontal="center"/>
      <protection/>
    </xf>
    <xf numFmtId="187" fontId="3" fillId="0" borderId="49" xfId="0" applyNumberFormat="1" applyFont="1" applyBorder="1" applyAlignment="1" applyProtection="1">
      <alignment horizontal="center" vertical="center"/>
      <protection locked="0"/>
    </xf>
    <xf numFmtId="0" fontId="3" fillId="38" borderId="50" xfId="0" applyFont="1" applyFill="1" applyBorder="1" applyAlignment="1" applyProtection="1">
      <alignment horizontal="left" vertical="center"/>
      <protection locked="0"/>
    </xf>
    <xf numFmtId="0" fontId="45" fillId="38" borderId="51" xfId="0" applyFont="1" applyFill="1" applyBorder="1" applyAlignment="1" applyProtection="1">
      <alignment horizontal="center" vertical="center"/>
      <protection locked="0"/>
    </xf>
    <xf numFmtId="202" fontId="3" fillId="38" borderId="36" xfId="0" applyNumberFormat="1" applyFont="1" applyFill="1" applyBorder="1" applyAlignment="1" applyProtection="1">
      <alignment horizontal="center" vertical="center"/>
      <protection locked="0"/>
    </xf>
    <xf numFmtId="180" fontId="3" fillId="38" borderId="51" xfId="0" applyNumberFormat="1" applyFont="1" applyFill="1" applyBorder="1" applyAlignment="1" applyProtection="1">
      <alignment horizontal="center" vertical="center"/>
      <protection locked="0"/>
    </xf>
    <xf numFmtId="1" fontId="3" fillId="38" borderId="36" xfId="0" applyNumberFormat="1" applyFont="1" applyFill="1" applyBorder="1" applyAlignment="1" applyProtection="1">
      <alignment horizontal="center" vertical="center"/>
      <protection locked="0"/>
    </xf>
    <xf numFmtId="180" fontId="25" fillId="38" borderId="52" xfId="0" applyNumberFormat="1" applyFont="1" applyFill="1" applyBorder="1" applyAlignment="1">
      <alignment horizontal="center" vertical="center"/>
    </xf>
    <xf numFmtId="0" fontId="25" fillId="38" borderId="51" xfId="0" applyFont="1" applyFill="1" applyBorder="1" applyAlignment="1" applyProtection="1">
      <alignment horizontal="center" vertical="center"/>
      <protection/>
    </xf>
    <xf numFmtId="187" fontId="3" fillId="38" borderId="53" xfId="0" applyNumberFormat="1" applyFont="1" applyFill="1" applyBorder="1" applyAlignment="1" applyProtection="1">
      <alignment horizontal="center" vertical="center"/>
      <protection locked="0"/>
    </xf>
    <xf numFmtId="0" fontId="3" fillId="0" borderId="50" xfId="0" applyFont="1" applyFill="1" applyBorder="1" applyAlignment="1" applyProtection="1">
      <alignment horizontal="left" vertical="center"/>
      <protection locked="0"/>
    </xf>
    <xf numFmtId="0" fontId="45" fillId="0" borderId="51" xfId="0" applyFont="1" applyFill="1" applyBorder="1" applyAlignment="1" applyProtection="1">
      <alignment horizontal="center" vertical="center"/>
      <protection locked="0"/>
    </xf>
    <xf numFmtId="202" fontId="3" fillId="0" borderId="54" xfId="0" applyNumberFormat="1" applyFont="1" applyFill="1" applyBorder="1" applyAlignment="1" applyProtection="1">
      <alignment horizontal="center" vertical="center"/>
      <protection locked="0"/>
    </xf>
    <xf numFmtId="1" fontId="3" fillId="0" borderId="0" xfId="0" applyNumberFormat="1" applyFont="1" applyBorder="1" applyAlignment="1" applyProtection="1">
      <alignment horizontal="center" vertical="center"/>
      <protection locked="0"/>
    </xf>
    <xf numFmtId="180" fontId="25" fillId="0" borderId="55" xfId="0" applyNumberFormat="1" applyFont="1" applyFill="1" applyBorder="1" applyAlignment="1">
      <alignment horizontal="center" vertical="center"/>
    </xf>
    <xf numFmtId="0" fontId="23" fillId="33" borderId="0" xfId="0" applyFont="1" applyFill="1" applyAlignment="1">
      <alignment/>
    </xf>
    <xf numFmtId="202" fontId="3" fillId="0" borderId="56" xfId="0" applyNumberFormat="1" applyFont="1" applyFill="1" applyBorder="1" applyAlignment="1" applyProtection="1">
      <alignment horizontal="center" vertical="center"/>
      <protection locked="0"/>
    </xf>
    <xf numFmtId="1" fontId="3" fillId="0" borderId="0" xfId="0" applyNumberFormat="1" applyFont="1" applyFill="1" applyBorder="1" applyAlignment="1" applyProtection="1">
      <alignment horizontal="center" vertical="center"/>
      <protection locked="0"/>
    </xf>
    <xf numFmtId="202" fontId="3" fillId="0" borderId="36" xfId="0" applyNumberFormat="1" applyFont="1" applyFill="1" applyBorder="1" applyAlignment="1" applyProtection="1">
      <alignment horizontal="center" vertical="center"/>
      <protection locked="0"/>
    </xf>
    <xf numFmtId="1" fontId="3" fillId="0" borderId="36" xfId="0" applyNumberFormat="1" applyFont="1" applyFill="1" applyBorder="1" applyAlignment="1" applyProtection="1">
      <alignment horizontal="center" vertical="center"/>
      <protection locked="0"/>
    </xf>
    <xf numFmtId="180" fontId="25" fillId="0" borderId="52" xfId="0" applyNumberFormat="1" applyFont="1" applyFill="1" applyBorder="1" applyAlignment="1">
      <alignment horizontal="center" vertical="center"/>
    </xf>
    <xf numFmtId="180" fontId="3" fillId="0" borderId="57" xfId="0" applyNumberFormat="1" applyFont="1" applyBorder="1" applyAlignment="1" applyProtection="1">
      <alignment horizontal="center" vertical="center"/>
      <protection locked="0"/>
    </xf>
    <xf numFmtId="180" fontId="25" fillId="0" borderId="55" xfId="0" applyNumberFormat="1" applyFont="1" applyBorder="1" applyAlignment="1">
      <alignment horizontal="center" vertical="center"/>
    </xf>
    <xf numFmtId="0" fontId="13" fillId="33" borderId="0" xfId="0" applyFont="1" applyFill="1" applyAlignment="1">
      <alignment horizontal="right"/>
    </xf>
    <xf numFmtId="180" fontId="3" fillId="0" borderId="36" xfId="0" applyNumberFormat="1" applyFont="1" applyFill="1" applyBorder="1" applyAlignment="1" applyProtection="1">
      <alignment horizontal="center"/>
      <protection locked="0"/>
    </xf>
    <xf numFmtId="0" fontId="25" fillId="0" borderId="36" xfId="0" applyFont="1" applyFill="1" applyBorder="1" applyAlignment="1" applyProtection="1">
      <alignment horizontal="center"/>
      <protection/>
    </xf>
    <xf numFmtId="187" fontId="3" fillId="0" borderId="53" xfId="0" applyNumberFormat="1" applyFont="1" applyBorder="1" applyAlignment="1" applyProtection="1">
      <alignment horizontal="center" vertical="center"/>
      <protection locked="0"/>
    </xf>
    <xf numFmtId="0" fontId="25" fillId="33" borderId="0" xfId="0" applyNumberFormat="1" applyFont="1" applyFill="1" applyBorder="1" applyAlignment="1" applyProtection="1">
      <alignment horizontal="left" vertical="center"/>
      <protection locked="0"/>
    </xf>
    <xf numFmtId="0" fontId="3" fillId="33" borderId="0" xfId="0" applyNumberFormat="1" applyFont="1" applyFill="1" applyBorder="1" applyAlignment="1" applyProtection="1">
      <alignment horizontal="right" vertical="center"/>
      <protection locked="0"/>
    </xf>
    <xf numFmtId="0" fontId="3" fillId="33" borderId="0" xfId="0" applyFont="1" applyFill="1" applyAlignment="1">
      <alignment/>
    </xf>
    <xf numFmtId="196" fontId="3" fillId="35" borderId="58" xfId="0" applyNumberFormat="1" applyFont="1" applyFill="1" applyBorder="1" applyAlignment="1" applyProtection="1">
      <alignment horizontal="left" vertical="center"/>
      <protection locked="0"/>
    </xf>
    <xf numFmtId="0" fontId="19" fillId="33" borderId="0" xfId="0" applyFont="1" applyFill="1" applyAlignment="1">
      <alignment horizontal="left"/>
    </xf>
    <xf numFmtId="0" fontId="23" fillId="33" borderId="0" xfId="0" applyFont="1" applyFill="1" applyBorder="1" applyAlignment="1" applyProtection="1">
      <alignment horizontal="left" vertical="center"/>
      <protection/>
    </xf>
    <xf numFmtId="0" fontId="25" fillId="33" borderId="0" xfId="0" applyNumberFormat="1" applyFont="1" applyFill="1" applyBorder="1" applyAlignment="1" applyProtection="1">
      <alignment horizontal="left" vertical="center"/>
      <protection/>
    </xf>
    <xf numFmtId="0" fontId="13" fillId="33" borderId="0" xfId="0" applyFont="1" applyFill="1" applyBorder="1" applyAlignment="1" applyProtection="1">
      <alignment horizontal="right" vertical="center"/>
      <protection/>
    </xf>
    <xf numFmtId="0" fontId="0" fillId="33" borderId="0" xfId="0" applyFill="1" applyAlignment="1" applyProtection="1">
      <alignment vertical="center"/>
      <protection/>
    </xf>
    <xf numFmtId="0" fontId="32" fillId="33" borderId="0" xfId="0" applyFont="1" applyFill="1" applyAlignment="1" applyProtection="1">
      <alignment horizontal="center" vertical="center"/>
      <protection/>
    </xf>
    <xf numFmtId="0" fontId="53" fillId="33" borderId="0" xfId="0" applyFont="1" applyFill="1" applyAlignment="1" applyProtection="1">
      <alignment horizontal="right" vertical="center"/>
      <protection/>
    </xf>
    <xf numFmtId="184" fontId="6" fillId="33" borderId="0" xfId="0" applyNumberFormat="1" applyFont="1" applyFill="1" applyAlignment="1" applyProtection="1">
      <alignment horizontal="right" vertical="center"/>
      <protection/>
    </xf>
    <xf numFmtId="185" fontId="6" fillId="33" borderId="0" xfId="0" applyNumberFormat="1" applyFont="1" applyFill="1" applyAlignment="1" applyProtection="1">
      <alignment vertical="center"/>
      <protection/>
    </xf>
    <xf numFmtId="193" fontId="6" fillId="33" borderId="0" xfId="0" applyNumberFormat="1" applyFont="1" applyFill="1" applyAlignment="1" applyProtection="1">
      <alignment vertical="center"/>
      <protection/>
    </xf>
    <xf numFmtId="0" fontId="19" fillId="33" borderId="0" xfId="0" applyFont="1" applyFill="1" applyAlignment="1" applyProtection="1">
      <alignment horizontal="left"/>
      <protection locked="0"/>
    </xf>
    <xf numFmtId="0" fontId="0" fillId="33" borderId="0" xfId="0" applyFill="1" applyAlignment="1" applyProtection="1">
      <alignment/>
      <protection locked="0"/>
    </xf>
    <xf numFmtId="49" fontId="15" fillId="35" borderId="0" xfId="0" applyNumberFormat="1" applyFont="1" applyFill="1" applyBorder="1" applyAlignment="1" applyProtection="1">
      <alignment horizontal="right" vertical="center"/>
      <protection/>
    </xf>
    <xf numFmtId="0" fontId="17" fillId="35" borderId="59" xfId="0" applyNumberFormat="1" applyFont="1" applyFill="1" applyBorder="1" applyAlignment="1" applyProtection="1">
      <alignment horizontal="center" vertical="center"/>
      <protection locked="0"/>
    </xf>
    <xf numFmtId="180" fontId="17" fillId="35" borderId="59" xfId="0" applyNumberFormat="1" applyFont="1" applyFill="1" applyBorder="1" applyAlignment="1" applyProtection="1">
      <alignment horizontal="center" vertical="center"/>
      <protection locked="0"/>
    </xf>
    <xf numFmtId="203" fontId="31" fillId="35" borderId="60" xfId="0" applyNumberFormat="1" applyFont="1" applyFill="1" applyBorder="1" applyAlignment="1" applyProtection="1">
      <alignment horizontal="center" vertical="center"/>
      <protection/>
    </xf>
    <xf numFmtId="180" fontId="3" fillId="35" borderId="61" xfId="0" applyNumberFormat="1" applyFont="1" applyFill="1" applyBorder="1" applyAlignment="1" applyProtection="1">
      <alignment horizontal="center" vertical="center"/>
      <protection locked="0"/>
    </xf>
    <xf numFmtId="0" fontId="25" fillId="0" borderId="0" xfId="0" applyNumberFormat="1" applyFont="1" applyBorder="1" applyAlignment="1" applyProtection="1">
      <alignment horizontal="right" vertical="center"/>
      <protection/>
    </xf>
    <xf numFmtId="0" fontId="22" fillId="33" borderId="0" xfId="0" applyNumberFormat="1" applyFont="1" applyFill="1" applyBorder="1" applyAlignment="1" applyProtection="1">
      <alignment horizontal="left" vertical="center"/>
      <protection/>
    </xf>
    <xf numFmtId="0" fontId="22" fillId="0" borderId="0" xfId="0" applyNumberFormat="1" applyFont="1" applyBorder="1" applyAlignment="1" applyProtection="1">
      <alignment horizontal="right" vertical="center"/>
      <protection/>
    </xf>
    <xf numFmtId="180" fontId="7" fillId="35" borderId="59" xfId="0" applyNumberFormat="1" applyFont="1" applyFill="1" applyBorder="1" applyAlignment="1" applyProtection="1">
      <alignment horizontal="center" vertical="center"/>
      <protection locked="0"/>
    </xf>
    <xf numFmtId="0" fontId="22" fillId="0" borderId="0" xfId="0" applyNumberFormat="1" applyFont="1" applyBorder="1" applyAlignment="1" applyProtection="1">
      <alignment horizontal="right" vertical="center"/>
      <protection locked="0"/>
    </xf>
    <xf numFmtId="196" fontId="7" fillId="35" borderId="59" xfId="0" applyNumberFormat="1" applyFont="1" applyFill="1" applyBorder="1" applyAlignment="1" applyProtection="1">
      <alignment horizontal="center" vertical="center"/>
      <protection locked="0"/>
    </xf>
    <xf numFmtId="0" fontId="17" fillId="35" borderId="59" xfId="0" applyNumberFormat="1" applyFont="1" applyFill="1" applyBorder="1" applyAlignment="1" applyProtection="1">
      <alignment horizontal="left" vertical="center"/>
      <protection locked="0"/>
    </xf>
    <xf numFmtId="0" fontId="7" fillId="33" borderId="0" xfId="0" applyFont="1" applyFill="1" applyAlignment="1">
      <alignment horizontal="right"/>
    </xf>
    <xf numFmtId="207" fontId="6" fillId="33" borderId="0" xfId="0" applyNumberFormat="1" applyFont="1" applyFill="1" applyAlignment="1">
      <alignment/>
    </xf>
    <xf numFmtId="0" fontId="34" fillId="35" borderId="0" xfId="0" applyNumberFormat="1" applyFont="1" applyFill="1" applyBorder="1" applyAlignment="1" applyProtection="1">
      <alignment horizontal="right" vertical="center"/>
      <protection/>
    </xf>
    <xf numFmtId="189" fontId="34" fillId="35" borderId="62" xfId="0" applyNumberFormat="1" applyFont="1" applyFill="1" applyBorder="1" applyAlignment="1" applyProtection="1">
      <alignment horizontal="center" vertical="center"/>
      <protection/>
    </xf>
    <xf numFmtId="0" fontId="55" fillId="0" borderId="0" xfId="0" applyFont="1" applyAlignment="1">
      <alignment horizontal="center"/>
    </xf>
    <xf numFmtId="208" fontId="34" fillId="35" borderId="62" xfId="0" applyNumberFormat="1" applyFont="1" applyFill="1" applyBorder="1" applyAlignment="1" applyProtection="1">
      <alignment horizontal="center" vertical="center"/>
      <protection/>
    </xf>
    <xf numFmtId="0" fontId="56" fillId="33" borderId="0" xfId="0" applyFont="1" applyFill="1" applyAlignment="1">
      <alignment/>
    </xf>
    <xf numFmtId="182" fontId="31" fillId="35" borderId="62" xfId="0" applyNumberFormat="1" applyFont="1" applyFill="1" applyBorder="1" applyAlignment="1" applyProtection="1">
      <alignment horizontal="right" vertical="center"/>
      <protection/>
    </xf>
    <xf numFmtId="0" fontId="13" fillId="33" borderId="0" xfId="0" applyFont="1" applyFill="1" applyAlignment="1">
      <alignment horizontal="center" vertical="center"/>
    </xf>
    <xf numFmtId="182" fontId="25" fillId="35" borderId="62" xfId="0" applyNumberFormat="1" applyFont="1" applyFill="1" applyBorder="1" applyAlignment="1" applyProtection="1">
      <alignment horizontal="center" vertical="center"/>
      <protection/>
    </xf>
    <xf numFmtId="0" fontId="13" fillId="33" borderId="0" xfId="0" applyFont="1" applyFill="1" applyAlignment="1">
      <alignment horizontal="left" vertical="center"/>
    </xf>
    <xf numFmtId="0" fontId="1" fillId="33" borderId="0" xfId="0" applyFont="1" applyFill="1" applyAlignment="1">
      <alignment horizontal="right"/>
    </xf>
    <xf numFmtId="182" fontId="34" fillId="35" borderId="63" xfId="0" applyNumberFormat="1" applyFont="1" applyFill="1" applyBorder="1" applyAlignment="1" applyProtection="1">
      <alignment horizontal="right" vertical="center"/>
      <protection/>
    </xf>
    <xf numFmtId="182" fontId="42" fillId="0" borderId="64" xfId="0" applyNumberFormat="1" applyFont="1" applyBorder="1" applyAlignment="1">
      <alignment horizontal="left" vertical="center"/>
    </xf>
    <xf numFmtId="0" fontId="42" fillId="33" borderId="0" xfId="0" applyFont="1" applyFill="1" applyAlignment="1">
      <alignment horizontal="right"/>
    </xf>
    <xf numFmtId="0" fontId="25" fillId="33" borderId="0" xfId="0" applyFont="1" applyFill="1" applyAlignment="1">
      <alignment horizontal="right"/>
    </xf>
    <xf numFmtId="207" fontId="34" fillId="35" borderId="65" xfId="0" applyNumberFormat="1" applyFont="1" applyFill="1" applyBorder="1" applyAlignment="1" applyProtection="1">
      <alignment horizontal="center" vertical="center"/>
      <protection/>
    </xf>
    <xf numFmtId="0" fontId="19" fillId="33" borderId="0" xfId="0" applyFont="1" applyFill="1" applyAlignment="1" applyProtection="1">
      <alignment/>
      <protection locked="0"/>
    </xf>
    <xf numFmtId="0" fontId="42" fillId="33" borderId="0" xfId="0" applyFont="1" applyFill="1" applyAlignment="1">
      <alignment horizontal="center" vertical="center"/>
    </xf>
    <xf numFmtId="180" fontId="6" fillId="33" borderId="0" xfId="0" applyNumberFormat="1" applyFont="1" applyFill="1" applyBorder="1" applyAlignment="1" applyProtection="1">
      <alignment horizontal="center" vertical="center"/>
      <protection/>
    </xf>
    <xf numFmtId="0" fontId="3" fillId="0" borderId="0" xfId="0" applyFont="1" applyAlignment="1">
      <alignment horizontal="right"/>
    </xf>
    <xf numFmtId="196" fontId="3" fillId="35" borderId="11" xfId="0" applyNumberFormat="1" applyFont="1" applyFill="1" applyBorder="1" applyAlignment="1" applyProtection="1">
      <alignment horizontal="center" vertical="center"/>
      <protection locked="0"/>
    </xf>
    <xf numFmtId="0" fontId="3" fillId="33" borderId="0" xfId="0" applyFont="1" applyFill="1" applyAlignment="1">
      <alignment horizontal="right" vertical="center"/>
    </xf>
    <xf numFmtId="209" fontId="3" fillId="35" borderId="11" xfId="0" applyNumberFormat="1" applyFont="1" applyFill="1" applyBorder="1" applyAlignment="1" applyProtection="1">
      <alignment horizontal="center" vertical="center"/>
      <protection locked="0"/>
    </xf>
    <xf numFmtId="0" fontId="13" fillId="33" borderId="40" xfId="0" applyFont="1" applyFill="1" applyBorder="1" applyAlignment="1">
      <alignment horizontal="right"/>
    </xf>
    <xf numFmtId="207" fontId="12" fillId="35" borderId="66" xfId="0" applyNumberFormat="1" applyFont="1" applyFill="1" applyBorder="1" applyAlignment="1" applyProtection="1">
      <alignment horizontal="center" vertical="center"/>
      <protection/>
    </xf>
    <xf numFmtId="0" fontId="13" fillId="33" borderId="40" xfId="0" applyFont="1" applyFill="1" applyBorder="1" applyAlignment="1" applyProtection="1">
      <alignment horizontal="center"/>
      <protection/>
    </xf>
    <xf numFmtId="202" fontId="34" fillId="35" borderId="66" xfId="0" applyNumberFormat="1" applyFont="1" applyFill="1" applyBorder="1" applyAlignment="1" applyProtection="1">
      <alignment vertical="center"/>
      <protection/>
    </xf>
    <xf numFmtId="0" fontId="1" fillId="33" borderId="40" xfId="0" applyFont="1" applyFill="1" applyBorder="1" applyAlignment="1" applyProtection="1">
      <alignment/>
      <protection/>
    </xf>
    <xf numFmtId="207" fontId="31" fillId="35" borderId="66" xfId="0" applyNumberFormat="1" applyFont="1" applyFill="1" applyBorder="1" applyAlignment="1" applyProtection="1">
      <alignment horizontal="center" vertical="center"/>
      <protection/>
    </xf>
    <xf numFmtId="202" fontId="34" fillId="35" borderId="66" xfId="0" applyNumberFormat="1" applyFont="1" applyFill="1" applyBorder="1" applyAlignment="1" applyProtection="1">
      <alignment horizontal="right" vertical="center"/>
      <protection/>
    </xf>
    <xf numFmtId="196" fontId="31" fillId="35" borderId="67" xfId="0" applyNumberFormat="1" applyFont="1" applyFill="1" applyBorder="1" applyAlignment="1" applyProtection="1">
      <alignment horizontal="center" vertical="center"/>
      <protection/>
    </xf>
    <xf numFmtId="182" fontId="31" fillId="35" borderId="68" xfId="57" applyNumberFormat="1" applyFont="1" applyFill="1" applyBorder="1" applyAlignment="1" applyProtection="1">
      <alignment horizontal="center" vertical="center"/>
      <protection/>
    </xf>
    <xf numFmtId="0" fontId="1" fillId="33" borderId="67" xfId="0" applyFont="1" applyFill="1" applyBorder="1" applyAlignment="1">
      <alignment horizontal="left"/>
    </xf>
    <xf numFmtId="0" fontId="19" fillId="33" borderId="67" xfId="0" applyFont="1" applyFill="1" applyBorder="1" applyAlignment="1">
      <alignment horizontal="right"/>
    </xf>
    <xf numFmtId="0" fontId="19" fillId="33" borderId="67" xfId="0" applyFont="1" applyFill="1" applyBorder="1" applyAlignment="1" applyProtection="1">
      <alignment/>
      <protection locked="0"/>
    </xf>
    <xf numFmtId="0" fontId="1" fillId="33" borderId="67" xfId="0" applyFont="1" applyFill="1" applyBorder="1" applyAlignment="1" applyProtection="1">
      <alignment/>
      <protection locked="0"/>
    </xf>
    <xf numFmtId="0" fontId="22" fillId="33" borderId="0" xfId="0" applyFont="1" applyFill="1" applyAlignment="1" applyProtection="1">
      <alignment horizontal="left"/>
      <protection/>
    </xf>
    <xf numFmtId="0" fontId="26" fillId="33" borderId="0" xfId="0" applyFont="1" applyFill="1" applyAlignment="1" applyProtection="1">
      <alignment horizontal="left"/>
      <protection locked="0"/>
    </xf>
    <xf numFmtId="0" fontId="22" fillId="33" borderId="0" xfId="0" applyFont="1" applyFill="1" applyAlignment="1" applyProtection="1">
      <alignment horizontal="left"/>
      <protection locked="0"/>
    </xf>
    <xf numFmtId="202" fontId="12" fillId="41" borderId="0" xfId="0" applyNumberFormat="1" applyFont="1" applyFill="1" applyBorder="1" applyAlignment="1" applyProtection="1">
      <alignment horizontal="center" vertical="center"/>
      <protection/>
    </xf>
    <xf numFmtId="0" fontId="1" fillId="33" borderId="0" xfId="0" applyFont="1" applyFill="1" applyAlignment="1">
      <alignment horizontal="center"/>
    </xf>
    <xf numFmtId="184" fontId="12" fillId="41" borderId="0" xfId="0" applyNumberFormat="1" applyFont="1" applyFill="1" applyBorder="1" applyAlignment="1" applyProtection="1">
      <alignment horizontal="center" vertical="center"/>
      <protection/>
    </xf>
    <xf numFmtId="202" fontId="12" fillId="40" borderId="0" xfId="0" applyNumberFormat="1" applyFont="1" applyFill="1" applyAlignment="1" applyProtection="1">
      <alignment horizontal="center"/>
      <protection/>
    </xf>
    <xf numFmtId="0" fontId="13" fillId="33" borderId="0" xfId="0" applyFont="1" applyFill="1" applyAlignment="1" applyProtection="1">
      <alignment/>
      <protection locked="0"/>
    </xf>
    <xf numFmtId="0" fontId="40" fillId="33" borderId="0" xfId="0" applyFont="1" applyFill="1" applyAlignment="1" applyProtection="1">
      <alignment/>
      <protection locked="0"/>
    </xf>
    <xf numFmtId="0" fontId="39" fillId="33" borderId="0" xfId="0" applyFont="1" applyFill="1" applyAlignment="1" applyProtection="1">
      <alignment/>
      <protection locked="0"/>
    </xf>
    <xf numFmtId="0" fontId="1" fillId="33" borderId="0" xfId="0" applyFont="1" applyFill="1" applyAlignment="1">
      <alignment horizontal="left"/>
    </xf>
    <xf numFmtId="0" fontId="23" fillId="33" borderId="0" xfId="0" applyFont="1" applyFill="1" applyAlignment="1">
      <alignment horizontal="left"/>
    </xf>
    <xf numFmtId="0" fontId="1" fillId="33" borderId="40" xfId="0" applyFont="1" applyFill="1" applyBorder="1" applyAlignment="1">
      <alignment/>
    </xf>
    <xf numFmtId="0" fontId="0" fillId="0" borderId="69" xfId="0" applyBorder="1" applyAlignment="1">
      <alignment horizontal="center"/>
    </xf>
    <xf numFmtId="1" fontId="0" fillId="0" borderId="69" xfId="0" applyNumberFormat="1" applyBorder="1" applyAlignment="1">
      <alignment horizontal="center"/>
    </xf>
    <xf numFmtId="0" fontId="0" fillId="0" borderId="10" xfId="0" applyBorder="1" applyAlignment="1">
      <alignment horizontal="center"/>
    </xf>
    <xf numFmtId="0" fontId="0" fillId="42" borderId="69" xfId="0" applyFill="1" applyBorder="1" applyAlignment="1">
      <alignment/>
    </xf>
    <xf numFmtId="0" fontId="0" fillId="0" borderId="0" xfId="0" applyBorder="1" applyAlignment="1">
      <alignment/>
    </xf>
    <xf numFmtId="180" fontId="0" fillId="0" borderId="69" xfId="0" applyNumberFormat="1" applyBorder="1" applyAlignment="1">
      <alignment horizontal="center"/>
    </xf>
    <xf numFmtId="0" fontId="0" fillId="0" borderId="69" xfId="0" applyBorder="1" applyAlignment="1">
      <alignment/>
    </xf>
    <xf numFmtId="0" fontId="0" fillId="0" borderId="0" xfId="0" applyBorder="1" applyAlignment="1">
      <alignment horizontal="center"/>
    </xf>
    <xf numFmtId="0" fontId="0" fillId="39" borderId="70" xfId="0" applyFont="1" applyFill="1" applyBorder="1" applyAlignment="1">
      <alignment horizontal="center" vertical="center" wrapText="1"/>
    </xf>
    <xf numFmtId="0" fontId="0" fillId="39" borderId="71" xfId="0" applyFont="1" applyFill="1" applyBorder="1" applyAlignment="1">
      <alignment horizontal="center" vertical="center" wrapText="1"/>
    </xf>
    <xf numFmtId="1" fontId="0" fillId="39" borderId="71" xfId="0" applyNumberFormat="1" applyFont="1" applyFill="1" applyBorder="1" applyAlignment="1">
      <alignment horizontal="center" vertical="center" wrapText="1"/>
    </xf>
    <xf numFmtId="0" fontId="0" fillId="42" borderId="71" xfId="0" applyFill="1" applyBorder="1" applyAlignment="1">
      <alignment horizontal="center" vertical="center" wrapText="1"/>
    </xf>
    <xf numFmtId="0" fontId="0" fillId="39" borderId="67" xfId="0" applyFont="1" applyFill="1" applyBorder="1" applyAlignment="1">
      <alignment horizontal="center" vertical="center" wrapText="1"/>
    </xf>
    <xf numFmtId="180" fontId="0" fillId="39" borderId="71" xfId="0" applyNumberFormat="1" applyFont="1" applyFill="1" applyBorder="1" applyAlignment="1">
      <alignment horizontal="center" vertical="center" wrapText="1"/>
    </xf>
    <xf numFmtId="0" fontId="0" fillId="43" borderId="0" xfId="0" applyFont="1" applyFill="1" applyBorder="1" applyAlignment="1">
      <alignment/>
    </xf>
    <xf numFmtId="180" fontId="0" fillId="43" borderId="69" xfId="0" applyNumberFormat="1" applyFill="1" applyBorder="1" applyAlignment="1">
      <alignment horizontal="center"/>
    </xf>
    <xf numFmtId="0" fontId="0" fillId="43" borderId="69" xfId="0" applyFill="1" applyBorder="1" applyAlignment="1">
      <alignment horizontal="center"/>
    </xf>
    <xf numFmtId="0" fontId="0" fillId="43" borderId="69" xfId="0" applyFont="1" applyFill="1" applyBorder="1" applyAlignment="1">
      <alignment/>
    </xf>
    <xf numFmtId="0" fontId="0" fillId="43" borderId="0" xfId="0" applyFill="1" applyBorder="1" applyAlignment="1">
      <alignment horizontal="center"/>
    </xf>
    <xf numFmtId="0" fontId="0" fillId="43" borderId="69" xfId="0" applyFill="1" applyBorder="1" applyAlignment="1">
      <alignment/>
    </xf>
    <xf numFmtId="180" fontId="0" fillId="33" borderId="69" xfId="0" applyNumberFormat="1" applyFill="1" applyBorder="1" applyAlignment="1">
      <alignment horizontal="center"/>
    </xf>
    <xf numFmtId="0" fontId="11" fillId="42" borderId="69" xfId="0" applyFont="1" applyFill="1" applyBorder="1" applyAlignment="1">
      <alignment/>
    </xf>
    <xf numFmtId="180" fontId="25" fillId="0" borderId="18" xfId="0" applyNumberFormat="1" applyFont="1" applyFill="1" applyBorder="1" applyAlignment="1" applyProtection="1">
      <alignment horizontal="center" vertical="center"/>
      <protection/>
    </xf>
    <xf numFmtId="185" fontId="7" fillId="34" borderId="17" xfId="0" applyNumberFormat="1" applyFont="1" applyFill="1" applyBorder="1" applyAlignment="1" applyProtection="1">
      <alignment horizontal="center" vertical="center"/>
      <protection locked="0"/>
    </xf>
    <xf numFmtId="185" fontId="7" fillId="0" borderId="17" xfId="0" applyNumberFormat="1" applyFont="1" applyFill="1" applyBorder="1" applyAlignment="1" applyProtection="1">
      <alignment horizontal="center" vertical="center"/>
      <protection locked="0"/>
    </xf>
    <xf numFmtId="2" fontId="25" fillId="34" borderId="18" xfId="0" applyNumberFormat="1" applyFont="1" applyFill="1" applyBorder="1" applyAlignment="1" applyProtection="1">
      <alignment horizontal="center" vertical="center"/>
      <protection/>
    </xf>
    <xf numFmtId="2" fontId="25" fillId="0" borderId="18" xfId="0" applyNumberFormat="1" applyFont="1" applyFill="1" applyBorder="1" applyAlignment="1" applyProtection="1">
      <alignment horizontal="center" vertical="center"/>
      <protection/>
    </xf>
    <xf numFmtId="185" fontId="7" fillId="0" borderId="28" xfId="0" applyNumberFormat="1" applyFont="1" applyFill="1" applyBorder="1" applyAlignment="1" applyProtection="1">
      <alignment horizontal="center" vertical="center"/>
      <protection locked="0"/>
    </xf>
    <xf numFmtId="0" fontId="40" fillId="33" borderId="0" xfId="0" applyFont="1" applyFill="1" applyAlignment="1" applyProtection="1">
      <alignment horizontal="right"/>
      <protection locked="0"/>
    </xf>
    <xf numFmtId="0" fontId="0" fillId="44" borderId="0" xfId="0" applyFill="1" applyAlignment="1">
      <alignment/>
    </xf>
    <xf numFmtId="191" fontId="25" fillId="35" borderId="72" xfId="0" applyNumberFormat="1" applyFont="1" applyFill="1" applyBorder="1" applyAlignment="1" applyProtection="1">
      <alignment horizontal="center" vertical="center"/>
      <protection/>
    </xf>
    <xf numFmtId="0" fontId="62" fillId="45" borderId="73" xfId="0" applyFont="1" applyFill="1" applyBorder="1" applyAlignment="1">
      <alignment horizontal="center"/>
    </xf>
    <xf numFmtId="1" fontId="62" fillId="45" borderId="73" xfId="0" applyNumberFormat="1" applyFont="1" applyFill="1" applyBorder="1" applyAlignment="1">
      <alignment horizontal="center"/>
    </xf>
    <xf numFmtId="0" fontId="62" fillId="45" borderId="33" xfId="0" applyFont="1" applyFill="1" applyBorder="1" applyAlignment="1">
      <alignment horizontal="center"/>
    </xf>
    <xf numFmtId="180" fontId="62" fillId="45" borderId="73" xfId="0" applyNumberFormat="1" applyFont="1" applyFill="1" applyBorder="1" applyAlignment="1">
      <alignment horizontal="center"/>
    </xf>
    <xf numFmtId="0" fontId="62" fillId="45" borderId="44" xfId="0" applyFont="1" applyFill="1" applyBorder="1" applyAlignment="1">
      <alignment horizontal="center"/>
    </xf>
    <xf numFmtId="0" fontId="62" fillId="45" borderId="0" xfId="0" applyFont="1" applyFill="1" applyAlignment="1">
      <alignment horizontal="center"/>
    </xf>
    <xf numFmtId="0" fontId="62" fillId="42" borderId="73" xfId="0" applyFont="1" applyFill="1" applyBorder="1" applyAlignment="1">
      <alignment horizontal="center"/>
    </xf>
    <xf numFmtId="0" fontId="62" fillId="45" borderId="71" xfId="0" applyFont="1" applyFill="1" applyBorder="1" applyAlignment="1">
      <alignment horizontal="center"/>
    </xf>
    <xf numFmtId="0" fontId="62" fillId="45" borderId="44" xfId="0" applyFont="1" applyFill="1" applyBorder="1" applyAlignment="1">
      <alignment horizontal="left"/>
    </xf>
    <xf numFmtId="180" fontId="63" fillId="0" borderId="0" xfId="0" applyNumberFormat="1" applyFont="1" applyAlignment="1">
      <alignment/>
    </xf>
    <xf numFmtId="0" fontId="0" fillId="43" borderId="0" xfId="0" applyFill="1" applyBorder="1" applyAlignment="1">
      <alignment/>
    </xf>
    <xf numFmtId="2" fontId="25" fillId="34" borderId="30" xfId="0" applyNumberFormat="1" applyFont="1" applyFill="1" applyBorder="1" applyAlignment="1" applyProtection="1" quotePrefix="1">
      <alignment horizontal="center" vertical="center"/>
      <protection/>
    </xf>
    <xf numFmtId="180" fontId="17" fillId="46" borderId="0" xfId="0" applyNumberFormat="1" applyFont="1" applyFill="1" applyBorder="1" applyAlignment="1" applyProtection="1">
      <alignment horizontal="center" vertical="center"/>
      <protection locked="0"/>
    </xf>
    <xf numFmtId="0" fontId="3" fillId="47" borderId="0" xfId="0" applyFont="1" applyFill="1" applyAlignment="1">
      <alignment horizontal="right"/>
    </xf>
    <xf numFmtId="184" fontId="15" fillId="46" borderId="0" xfId="0" applyNumberFormat="1" applyFont="1" applyFill="1" applyBorder="1" applyAlignment="1" applyProtection="1">
      <alignment horizontal="center" vertical="center"/>
      <protection locked="0"/>
    </xf>
    <xf numFmtId="0" fontId="17" fillId="46" borderId="0" xfId="0" applyNumberFormat="1" applyFont="1" applyFill="1" applyBorder="1" applyAlignment="1" applyProtection="1">
      <alignment horizontal="center" vertical="center"/>
      <protection locked="0"/>
    </xf>
    <xf numFmtId="180" fontId="17" fillId="35" borderId="27" xfId="0" applyNumberFormat="1" applyFont="1" applyFill="1" applyBorder="1" applyAlignment="1" applyProtection="1">
      <alignment horizontal="center" vertical="center"/>
      <protection locked="0"/>
    </xf>
    <xf numFmtId="2" fontId="6" fillId="33" borderId="0" xfId="0" applyNumberFormat="1" applyFont="1" applyFill="1" applyBorder="1" applyAlignment="1" applyProtection="1">
      <alignment horizontal="center"/>
      <protection/>
    </xf>
    <xf numFmtId="0" fontId="7" fillId="33" borderId="0" xfId="0" applyFont="1" applyFill="1" applyAlignment="1">
      <alignment/>
    </xf>
    <xf numFmtId="187" fontId="15" fillId="35" borderId="11" xfId="0" applyNumberFormat="1" applyFont="1" applyFill="1" applyBorder="1" applyAlignment="1" applyProtection="1">
      <alignment horizontal="center" vertical="center"/>
      <protection locked="0"/>
    </xf>
    <xf numFmtId="0" fontId="7" fillId="47" borderId="0" xfId="0" applyFont="1" applyFill="1" applyAlignment="1">
      <alignment horizontal="right"/>
    </xf>
    <xf numFmtId="186" fontId="6" fillId="33" borderId="0" xfId="0" applyNumberFormat="1" applyFont="1" applyFill="1" applyBorder="1" applyAlignment="1">
      <alignment horizontal="center"/>
    </xf>
    <xf numFmtId="194" fontId="17" fillId="35" borderId="11" xfId="0" applyNumberFormat="1" applyFont="1" applyFill="1" applyBorder="1" applyAlignment="1" applyProtection="1">
      <alignment horizontal="center" vertical="center"/>
      <protection locked="0"/>
    </xf>
    <xf numFmtId="180" fontId="9" fillId="48" borderId="0" xfId="0" applyNumberFormat="1" applyFont="1" applyFill="1" applyBorder="1" applyAlignment="1" applyProtection="1">
      <alignment horizontal="center" vertical="center"/>
      <protection/>
    </xf>
    <xf numFmtId="180" fontId="10" fillId="48" borderId="0" xfId="0" applyNumberFormat="1" applyFont="1" applyFill="1" applyBorder="1" applyAlignment="1" applyProtection="1">
      <alignment horizontal="center" vertical="center"/>
      <protection/>
    </xf>
    <xf numFmtId="180" fontId="27" fillId="38" borderId="18" xfId="0" applyNumberFormat="1" applyFont="1" applyFill="1" applyBorder="1" applyAlignment="1" applyProtection="1">
      <alignment horizontal="center" vertical="center"/>
      <protection/>
    </xf>
    <xf numFmtId="180" fontId="28" fillId="38" borderId="18" xfId="0" applyNumberFormat="1" applyFont="1" applyFill="1" applyBorder="1" applyAlignment="1" applyProtection="1">
      <alignment horizontal="center" vertical="center"/>
      <protection/>
    </xf>
    <xf numFmtId="180" fontId="27" fillId="0" borderId="18" xfId="0" applyNumberFormat="1" applyFont="1" applyFill="1" applyBorder="1" applyAlignment="1" applyProtection="1">
      <alignment horizontal="center" vertical="center"/>
      <protection/>
    </xf>
    <xf numFmtId="180" fontId="27" fillId="0" borderId="18" xfId="0" applyNumberFormat="1" applyFont="1" applyBorder="1" applyAlignment="1" applyProtection="1">
      <alignment horizontal="center" vertical="center"/>
      <protection/>
    </xf>
    <xf numFmtId="0" fontId="6" fillId="33" borderId="0" xfId="0" applyFont="1" applyFill="1" applyBorder="1" applyAlignment="1">
      <alignment horizontal="center"/>
    </xf>
    <xf numFmtId="0" fontId="0" fillId="44" borderId="0" xfId="0" applyFill="1" applyBorder="1" applyAlignment="1">
      <alignment/>
    </xf>
    <xf numFmtId="1" fontId="25" fillId="35" borderId="74" xfId="0" applyNumberFormat="1" applyFont="1" applyFill="1" applyBorder="1" applyAlignment="1" applyProtection="1">
      <alignment horizontal="center" vertical="center"/>
      <protection/>
    </xf>
    <xf numFmtId="0" fontId="6" fillId="33" borderId="0" xfId="0" applyFont="1" applyFill="1" applyAlignment="1" applyProtection="1">
      <alignment horizontal="center"/>
      <protection/>
    </xf>
    <xf numFmtId="0" fontId="37" fillId="33" borderId="0" xfId="0" applyFont="1" applyFill="1" applyBorder="1" applyAlignment="1" applyProtection="1">
      <alignment horizontal="center" vertical="center"/>
      <protection/>
    </xf>
    <xf numFmtId="180" fontId="0" fillId="39" borderId="71" xfId="0" applyNumberFormat="1" applyFill="1" applyBorder="1" applyAlignment="1">
      <alignment horizontal="center" vertical="center" wrapText="1"/>
    </xf>
    <xf numFmtId="0" fontId="22" fillId="0" borderId="0" xfId="0" applyNumberFormat="1" applyFont="1" applyBorder="1" applyAlignment="1" applyProtection="1">
      <alignment horizontal="left" vertical="center"/>
      <protection/>
    </xf>
    <xf numFmtId="209" fontId="3" fillId="46" borderId="0" xfId="0" applyNumberFormat="1" applyFont="1" applyFill="1" applyBorder="1" applyAlignment="1" applyProtection="1">
      <alignment horizontal="center" vertical="center"/>
      <protection locked="0"/>
    </xf>
    <xf numFmtId="0" fontId="25" fillId="33" borderId="40" xfId="0" applyFont="1" applyFill="1" applyBorder="1" applyAlignment="1" applyProtection="1">
      <alignment horizontal="right"/>
      <protection/>
    </xf>
    <xf numFmtId="0" fontId="26" fillId="33" borderId="75" xfId="0" applyFont="1" applyFill="1" applyBorder="1" applyAlignment="1" applyProtection="1">
      <alignment horizontal="right"/>
      <protection/>
    </xf>
    <xf numFmtId="185" fontId="41" fillId="37" borderId="76" xfId="0" applyNumberFormat="1" applyFont="1" applyFill="1" applyBorder="1" applyAlignment="1" applyProtection="1">
      <alignment horizontal="center" vertical="center"/>
      <protection/>
    </xf>
    <xf numFmtId="2" fontId="25" fillId="0" borderId="29" xfId="0" applyNumberFormat="1" applyFont="1" applyFill="1" applyBorder="1" applyAlignment="1" applyProtection="1">
      <alignment horizontal="center" vertical="center"/>
      <protection/>
    </xf>
    <xf numFmtId="193" fontId="6" fillId="33" borderId="0" xfId="0" applyNumberFormat="1" applyFont="1" applyFill="1" applyBorder="1" applyAlignment="1">
      <alignment horizontal="right"/>
    </xf>
    <xf numFmtId="182" fontId="36" fillId="46" borderId="0" xfId="0" applyNumberFormat="1" applyFont="1" applyFill="1" applyBorder="1" applyAlignment="1" applyProtection="1">
      <alignment horizontal="center" vertical="center"/>
      <protection/>
    </xf>
    <xf numFmtId="0" fontId="22" fillId="46" borderId="0" xfId="0" applyFont="1" applyFill="1" applyBorder="1" applyAlignment="1">
      <alignment horizontal="right"/>
    </xf>
    <xf numFmtId="198" fontId="36" fillId="46" borderId="0" xfId="0" applyNumberFormat="1" applyFont="1" applyFill="1" applyBorder="1" applyAlignment="1" applyProtection="1">
      <alignment horizontal="left" vertical="center"/>
      <protection/>
    </xf>
    <xf numFmtId="180" fontId="39" fillId="46" borderId="0" xfId="0" applyNumberFormat="1" applyFont="1" applyFill="1" applyBorder="1" applyAlignment="1" applyProtection="1">
      <alignment horizontal="center" vertical="center"/>
      <protection/>
    </xf>
    <xf numFmtId="0" fontId="64" fillId="39" borderId="67" xfId="0" applyFont="1" applyFill="1" applyBorder="1" applyAlignment="1">
      <alignment horizontal="center" vertical="center" wrapText="1"/>
    </xf>
    <xf numFmtId="2" fontId="28" fillId="38" borderId="77" xfId="0" applyNumberFormat="1" applyFont="1" applyFill="1" applyBorder="1" applyAlignment="1" applyProtection="1">
      <alignment horizontal="center" vertical="center"/>
      <protection/>
    </xf>
    <xf numFmtId="2" fontId="28" fillId="0" borderId="77" xfId="0" applyNumberFormat="1" applyFont="1" applyBorder="1" applyAlignment="1" applyProtection="1">
      <alignment horizontal="center" vertical="center"/>
      <protection/>
    </xf>
    <xf numFmtId="2" fontId="28" fillId="0" borderId="78" xfId="0" applyNumberFormat="1" applyFont="1" applyBorder="1" applyAlignment="1" applyProtection="1">
      <alignment horizontal="center" vertical="center"/>
      <protection/>
    </xf>
    <xf numFmtId="2" fontId="28" fillId="34" borderId="77" xfId="0" applyNumberFormat="1" applyFont="1" applyFill="1" applyBorder="1" applyAlignment="1" applyProtection="1">
      <alignment horizontal="center" vertical="center"/>
      <protection/>
    </xf>
    <xf numFmtId="2" fontId="28" fillId="0" borderId="79" xfId="0" applyNumberFormat="1" applyFont="1" applyFill="1" applyBorder="1" applyAlignment="1" applyProtection="1">
      <alignment horizontal="center" vertical="center"/>
      <protection/>
    </xf>
    <xf numFmtId="2" fontId="28" fillId="34" borderId="80" xfId="0" applyNumberFormat="1" applyFont="1" applyFill="1" applyBorder="1" applyAlignment="1" applyProtection="1">
      <alignment horizontal="center" vertical="center"/>
      <protection/>
    </xf>
    <xf numFmtId="0" fontId="48" fillId="33" borderId="0" xfId="0" applyFont="1" applyFill="1" applyBorder="1" applyAlignment="1" applyProtection="1">
      <alignment horizontal="center" vertical="center"/>
      <protection/>
    </xf>
    <xf numFmtId="0" fontId="0" fillId="44" borderId="0" xfId="0" applyFill="1" applyBorder="1" applyAlignment="1">
      <alignment wrapText="1"/>
    </xf>
    <xf numFmtId="190" fontId="25" fillId="35" borderId="81" xfId="0" applyNumberFormat="1" applyFont="1" applyFill="1" applyBorder="1" applyAlignment="1" applyProtection="1">
      <alignment horizontal="center" vertical="center"/>
      <protection/>
    </xf>
    <xf numFmtId="0" fontId="17" fillId="36" borderId="11" xfId="0" applyNumberFormat="1" applyFont="1" applyFill="1" applyBorder="1" applyAlignment="1" applyProtection="1">
      <alignment horizontal="center" vertical="center"/>
      <protection locked="0"/>
    </xf>
    <xf numFmtId="0" fontId="13" fillId="41" borderId="0" xfId="0" applyFont="1" applyFill="1" applyAlignment="1" applyProtection="1">
      <alignment horizontal="right"/>
      <protection/>
    </xf>
    <xf numFmtId="191" fontId="12" fillId="35" borderId="0" xfId="0" applyNumberFormat="1" applyFont="1" applyFill="1" applyBorder="1" applyAlignment="1" applyProtection="1">
      <alignment horizontal="center" vertical="center"/>
      <protection/>
    </xf>
    <xf numFmtId="2" fontId="28" fillId="38" borderId="82" xfId="0" applyNumberFormat="1" applyFont="1" applyFill="1" applyBorder="1" applyAlignment="1" applyProtection="1">
      <alignment horizontal="center" vertical="center"/>
      <protection/>
    </xf>
    <xf numFmtId="0" fontId="13" fillId="41" borderId="0" xfId="0" applyFont="1" applyFill="1" applyAlignment="1" applyProtection="1">
      <alignment horizontal="left"/>
      <protection/>
    </xf>
    <xf numFmtId="202" fontId="12" fillId="41" borderId="0" xfId="0" applyNumberFormat="1" applyFont="1" applyFill="1" applyAlignment="1" applyProtection="1">
      <alignment horizontal="right" vertical="center"/>
      <protection/>
    </xf>
    <xf numFmtId="0" fontId="1" fillId="49" borderId="0" xfId="0" applyFont="1" applyFill="1" applyAlignment="1">
      <alignment/>
    </xf>
    <xf numFmtId="0" fontId="13" fillId="49" borderId="0" xfId="0" applyFont="1" applyFill="1" applyAlignment="1">
      <alignment horizontal="right"/>
    </xf>
    <xf numFmtId="0" fontId="19" fillId="33" borderId="0" xfId="0" applyFont="1" applyFill="1" applyBorder="1" applyAlignment="1" applyProtection="1">
      <alignment horizontal="center"/>
      <protection/>
    </xf>
    <xf numFmtId="0" fontId="19" fillId="33" borderId="0" xfId="0" applyFont="1" applyFill="1" applyAlignment="1" applyProtection="1" quotePrefix="1">
      <alignment horizontal="left"/>
      <protection locked="0"/>
    </xf>
    <xf numFmtId="2" fontId="65" fillId="44" borderId="0" xfId="0" applyNumberFormat="1" applyFont="1" applyFill="1" applyAlignment="1">
      <alignment/>
    </xf>
    <xf numFmtId="2" fontId="65" fillId="44" borderId="0" xfId="0" applyNumberFormat="1" applyFont="1" applyFill="1" applyAlignment="1">
      <alignment horizontal="center"/>
    </xf>
    <xf numFmtId="2" fontId="66" fillId="33" borderId="0" xfId="0" applyNumberFormat="1" applyFont="1" applyFill="1" applyAlignment="1">
      <alignment horizontal="right"/>
    </xf>
    <xf numFmtId="207" fontId="3" fillId="35" borderId="59" xfId="0" applyNumberFormat="1" applyFont="1" applyFill="1" applyBorder="1" applyAlignment="1" applyProtection="1">
      <alignment horizontal="center" vertical="center"/>
      <protection locked="0"/>
    </xf>
    <xf numFmtId="180" fontId="31" fillId="38" borderId="83" xfId="0" applyNumberFormat="1" applyFont="1" applyFill="1" applyBorder="1" applyAlignment="1">
      <alignment horizontal="center" vertical="center"/>
    </xf>
    <xf numFmtId="0" fontId="13" fillId="0" borderId="84" xfId="0" applyFont="1" applyBorder="1" applyAlignment="1">
      <alignment horizontal="center" vertical="center"/>
    </xf>
    <xf numFmtId="0" fontId="0" fillId="44" borderId="85" xfId="0" applyFill="1" applyBorder="1" applyAlignment="1">
      <alignment/>
    </xf>
    <xf numFmtId="0" fontId="22" fillId="0" borderId="86" xfId="0" applyFont="1" applyBorder="1" applyAlignment="1">
      <alignment horizontal="right" vertical="center"/>
    </xf>
    <xf numFmtId="202" fontId="3" fillId="0" borderId="87" xfId="0" applyNumberFormat="1" applyFont="1" applyFill="1" applyBorder="1" applyAlignment="1" applyProtection="1">
      <alignment horizontal="center" vertical="center"/>
      <protection locked="0"/>
    </xf>
    <xf numFmtId="0" fontId="31" fillId="33" borderId="0" xfId="0" applyFont="1" applyFill="1" applyBorder="1" applyAlignment="1" applyProtection="1">
      <alignment horizontal="left" vertical="center"/>
      <protection/>
    </xf>
    <xf numFmtId="2" fontId="17" fillId="35" borderId="11" xfId="0" applyNumberFormat="1" applyFont="1" applyFill="1" applyBorder="1" applyAlignment="1" applyProtection="1">
      <alignment horizontal="center" vertical="center"/>
      <protection locked="0"/>
    </xf>
    <xf numFmtId="196" fontId="34" fillId="35" borderId="88" xfId="0" applyNumberFormat="1" applyFont="1" applyFill="1" applyBorder="1" applyAlignment="1" applyProtection="1">
      <alignment horizontal="center" vertical="center"/>
      <protection/>
    </xf>
    <xf numFmtId="0" fontId="26" fillId="46" borderId="0" xfId="0" applyFont="1" applyFill="1" applyBorder="1" applyAlignment="1">
      <alignment horizontal="left" vertical="top"/>
    </xf>
    <xf numFmtId="0" fontId="68" fillId="33" borderId="0" xfId="0" applyFont="1" applyFill="1" applyAlignment="1">
      <alignment horizontal="left"/>
    </xf>
    <xf numFmtId="0" fontId="68" fillId="0" borderId="0" xfId="0" applyFont="1" applyAlignment="1">
      <alignment/>
    </xf>
    <xf numFmtId="0" fontId="68" fillId="44" borderId="0" xfId="0" applyFont="1" applyFill="1" applyAlignment="1">
      <alignment/>
    </xf>
    <xf numFmtId="0" fontId="13" fillId="33" borderId="0" xfId="0" applyFont="1" applyFill="1" applyBorder="1" applyAlignment="1">
      <alignment/>
    </xf>
    <xf numFmtId="211" fontId="31" fillId="35" borderId="89" xfId="0" applyNumberFormat="1" applyFont="1" applyFill="1" applyBorder="1" applyAlignment="1" applyProtection="1">
      <alignment horizontal="center" vertical="center"/>
      <protection/>
    </xf>
    <xf numFmtId="0" fontId="70" fillId="33" borderId="0" xfId="0" applyFont="1" applyFill="1" applyAlignment="1">
      <alignment/>
    </xf>
    <xf numFmtId="183" fontId="70" fillId="33" borderId="0" xfId="0" applyNumberFormat="1" applyFont="1" applyFill="1" applyAlignment="1">
      <alignment horizontal="left"/>
    </xf>
    <xf numFmtId="0" fontId="70" fillId="33" borderId="0" xfId="0" applyFont="1" applyFill="1" applyBorder="1" applyAlignment="1">
      <alignment/>
    </xf>
    <xf numFmtId="0" fontId="71" fillId="33" borderId="0" xfId="0" applyFont="1" applyFill="1" applyAlignment="1">
      <alignment/>
    </xf>
    <xf numFmtId="0" fontId="69" fillId="44" borderId="0" xfId="0" applyFont="1" applyFill="1" applyAlignment="1">
      <alignment/>
    </xf>
    <xf numFmtId="0" fontId="41" fillId="33" borderId="0" xfId="0" applyFont="1" applyFill="1" applyAlignment="1" applyProtection="1">
      <alignment horizontal="left"/>
      <protection locked="0"/>
    </xf>
    <xf numFmtId="0" fontId="56" fillId="44" borderId="0" xfId="0" applyFont="1" applyFill="1" applyAlignment="1" quotePrefix="1">
      <alignment/>
    </xf>
    <xf numFmtId="0" fontId="56" fillId="44" borderId="0" xfId="0" applyFont="1" applyFill="1" applyAlignment="1">
      <alignment/>
    </xf>
    <xf numFmtId="182" fontId="44" fillId="50" borderId="90" xfId="0" applyNumberFormat="1" applyFont="1" applyFill="1" applyBorder="1" applyAlignment="1">
      <alignment horizontal="right"/>
    </xf>
    <xf numFmtId="0" fontId="1" fillId="33" borderId="91" xfId="0" applyFont="1" applyFill="1" applyBorder="1" applyAlignment="1" applyProtection="1">
      <alignment/>
      <protection locked="0"/>
    </xf>
    <xf numFmtId="189" fontId="40" fillId="35" borderId="92" xfId="0" applyNumberFormat="1" applyFont="1" applyFill="1" applyBorder="1" applyAlignment="1" applyProtection="1">
      <alignment horizontal="center" vertical="center"/>
      <protection/>
    </xf>
    <xf numFmtId="180" fontId="40" fillId="35" borderId="92" xfId="0" applyNumberFormat="1" applyFont="1" applyFill="1" applyBorder="1" applyAlignment="1" applyProtection="1">
      <alignment horizontal="center" vertical="center"/>
      <protection/>
    </xf>
    <xf numFmtId="0" fontId="25" fillId="51" borderId="93" xfId="0" applyFont="1" applyFill="1" applyBorder="1" applyAlignment="1">
      <alignment horizontal="left"/>
    </xf>
    <xf numFmtId="202" fontId="7" fillId="34" borderId="31" xfId="0" applyNumberFormat="1" applyFont="1" applyFill="1" applyBorder="1" applyAlignment="1" applyProtection="1">
      <alignment horizontal="center" vertical="center"/>
      <protection locked="0"/>
    </xf>
    <xf numFmtId="0" fontId="26" fillId="34" borderId="94" xfId="0" applyNumberFormat="1" applyFont="1" applyFill="1" applyBorder="1" applyAlignment="1" applyProtection="1">
      <alignment horizontal="left" vertical="center"/>
      <protection/>
    </xf>
    <xf numFmtId="0" fontId="73" fillId="0" borderId="44" xfId="0" applyFont="1" applyBorder="1" applyAlignment="1">
      <alignment/>
    </xf>
    <xf numFmtId="0" fontId="21" fillId="33" borderId="44" xfId="0" applyFont="1" applyFill="1" applyBorder="1" applyAlignment="1" applyProtection="1">
      <alignment horizontal="right"/>
      <protection locked="0"/>
    </xf>
    <xf numFmtId="0" fontId="42" fillId="33" borderId="0" xfId="0" applyFont="1" applyFill="1" applyAlignment="1">
      <alignment horizontal="left"/>
    </xf>
    <xf numFmtId="187" fontId="3" fillId="38" borderId="36" xfId="0" applyNumberFormat="1" applyFont="1" applyFill="1" applyBorder="1" applyAlignment="1" applyProtection="1">
      <alignment horizontal="center" vertical="center"/>
      <protection locked="0"/>
    </xf>
    <xf numFmtId="0" fontId="13" fillId="0" borderId="95" xfId="0" applyFont="1" applyBorder="1" applyAlignment="1" quotePrefix="1">
      <alignment horizontal="center" vertical="center"/>
    </xf>
    <xf numFmtId="191" fontId="15" fillId="35" borderId="96" xfId="0" applyNumberFormat="1" applyFont="1" applyFill="1" applyBorder="1" applyAlignment="1" applyProtection="1">
      <alignment horizontal="center" vertical="center"/>
      <protection locked="0"/>
    </xf>
    <xf numFmtId="49" fontId="75" fillId="33" borderId="0" xfId="0" applyNumberFormat="1" applyFont="1" applyFill="1" applyBorder="1" applyAlignment="1" applyProtection="1">
      <alignment horizontal="right" vertical="center"/>
      <protection locked="0"/>
    </xf>
    <xf numFmtId="182" fontId="6" fillId="46" borderId="40" xfId="0" applyNumberFormat="1" applyFont="1" applyFill="1" applyBorder="1" applyAlignment="1" applyProtection="1">
      <alignment horizontal="center" vertical="center"/>
      <protection/>
    </xf>
    <xf numFmtId="0" fontId="6" fillId="33" borderId="0" xfId="0" applyFont="1" applyFill="1" applyBorder="1" applyAlignment="1" applyProtection="1">
      <alignment horizontal="center"/>
      <protection/>
    </xf>
    <xf numFmtId="2" fontId="6" fillId="33" borderId="0" xfId="0" applyNumberFormat="1" applyFont="1" applyFill="1" applyBorder="1" applyAlignment="1" applyProtection="1">
      <alignment/>
      <protection/>
    </xf>
    <xf numFmtId="2" fontId="65" fillId="44" borderId="0" xfId="0" applyNumberFormat="1" applyFont="1" applyFill="1" applyAlignment="1" applyProtection="1">
      <alignment/>
      <protection/>
    </xf>
    <xf numFmtId="0" fontId="6" fillId="33" borderId="0" xfId="0" applyFont="1" applyFill="1" applyAlignment="1" applyProtection="1">
      <alignment/>
      <protection/>
    </xf>
    <xf numFmtId="180" fontId="3" fillId="38" borderId="51" xfId="0" applyNumberFormat="1" applyFont="1" applyFill="1" applyBorder="1" applyAlignment="1" applyProtection="1">
      <alignment horizontal="center" vertical="center"/>
      <protection/>
    </xf>
    <xf numFmtId="180" fontId="3" fillId="0" borderId="97" xfId="0" applyNumberFormat="1" applyFont="1" applyFill="1" applyBorder="1" applyAlignment="1" applyProtection="1">
      <alignment horizontal="center" vertical="center"/>
      <protection/>
    </xf>
    <xf numFmtId="180" fontId="3" fillId="0" borderId="51" xfId="0" applyNumberFormat="1" applyFont="1" applyFill="1" applyBorder="1" applyAlignment="1" applyProtection="1">
      <alignment horizontal="center" vertical="center"/>
      <protection/>
    </xf>
    <xf numFmtId="0" fontId="0" fillId="52" borderId="69" xfId="0" applyFill="1" applyBorder="1" applyAlignment="1">
      <alignment/>
    </xf>
    <xf numFmtId="0" fontId="0" fillId="52" borderId="0" xfId="0" applyFill="1" applyBorder="1" applyAlignment="1">
      <alignment horizontal="center"/>
    </xf>
    <xf numFmtId="180" fontId="1" fillId="33" borderId="0" xfId="0" applyNumberFormat="1" applyFont="1" applyFill="1" applyAlignment="1">
      <alignment/>
    </xf>
    <xf numFmtId="180" fontId="0" fillId="33" borderId="0" xfId="0" applyNumberFormat="1" applyFill="1" applyAlignment="1" applyProtection="1">
      <alignment/>
      <protection locked="0"/>
    </xf>
    <xf numFmtId="180" fontId="1" fillId="33" borderId="0" xfId="0" applyNumberFormat="1" applyFont="1" applyFill="1" applyAlignment="1" applyProtection="1">
      <alignment/>
      <protection locked="0"/>
    </xf>
    <xf numFmtId="180" fontId="25" fillId="38" borderId="18" xfId="0" applyNumberFormat="1" applyFont="1" applyFill="1" applyBorder="1" applyAlignment="1" applyProtection="1">
      <alignment horizontal="center" vertical="center"/>
      <protection/>
    </xf>
    <xf numFmtId="180" fontId="25" fillId="0" borderId="18" xfId="0" applyNumberFormat="1" applyFont="1" applyBorder="1" applyAlignment="1" applyProtection="1">
      <alignment horizontal="center" vertical="center"/>
      <protection/>
    </xf>
    <xf numFmtId="180" fontId="25" fillId="0" borderId="24" xfId="0" applyNumberFormat="1" applyFont="1" applyFill="1" applyBorder="1" applyAlignment="1" applyProtection="1">
      <alignment horizontal="center" vertical="center"/>
      <protection/>
    </xf>
    <xf numFmtId="180" fontId="25" fillId="34" borderId="18" xfId="0" applyNumberFormat="1" applyFont="1" applyFill="1" applyBorder="1" applyAlignment="1" applyProtection="1">
      <alignment horizontal="center" vertical="center"/>
      <protection/>
    </xf>
    <xf numFmtId="180" fontId="25" fillId="34" borderId="30" xfId="0" applyNumberFormat="1" applyFont="1" applyFill="1" applyBorder="1" applyAlignment="1" applyProtection="1">
      <alignment horizontal="center" vertical="center"/>
      <protection locked="0"/>
    </xf>
    <xf numFmtId="193" fontId="6" fillId="33" borderId="0" xfId="0" applyNumberFormat="1" applyFont="1" applyFill="1" applyBorder="1" applyAlignment="1">
      <alignment horizontal="center"/>
    </xf>
    <xf numFmtId="0" fontId="39" fillId="33" borderId="0" xfId="0" applyFont="1" applyFill="1" applyAlignment="1">
      <alignment horizontal="center"/>
    </xf>
    <xf numFmtId="0" fontId="26" fillId="33" borderId="0" xfId="0" applyFont="1" applyFill="1" applyAlignment="1" applyProtection="1">
      <alignment horizontal="center"/>
      <protection locked="0"/>
    </xf>
    <xf numFmtId="0" fontId="56" fillId="44" borderId="0" xfId="0" applyFont="1" applyFill="1" applyAlignment="1">
      <alignment horizontal="center"/>
    </xf>
    <xf numFmtId="180" fontId="19" fillId="33" borderId="0" xfId="0" applyNumberFormat="1" applyFont="1" applyFill="1" applyAlignment="1">
      <alignment horizontal="center"/>
    </xf>
    <xf numFmtId="0" fontId="26" fillId="46" borderId="0" xfId="0" applyFont="1" applyFill="1" applyBorder="1" applyAlignment="1">
      <alignment horizontal="center"/>
    </xf>
    <xf numFmtId="198" fontId="76" fillId="46" borderId="0" xfId="0" applyNumberFormat="1" applyFont="1" applyFill="1" applyBorder="1" applyAlignment="1" applyProtection="1">
      <alignment horizontal="center" vertical="center"/>
      <protection/>
    </xf>
    <xf numFmtId="0" fontId="26" fillId="33" borderId="0" xfId="0" applyFont="1" applyFill="1" applyAlignment="1">
      <alignment horizontal="center"/>
    </xf>
    <xf numFmtId="213" fontId="19" fillId="46" borderId="0" xfId="42" applyNumberFormat="1" applyFont="1" applyFill="1" applyBorder="1" applyAlignment="1" applyProtection="1">
      <alignment horizontal="right" vertical="center"/>
      <protection/>
    </xf>
    <xf numFmtId="1" fontId="25" fillId="35" borderId="98" xfId="0" applyNumberFormat="1" applyFont="1" applyFill="1" applyBorder="1" applyAlignment="1" applyProtection="1">
      <alignment horizontal="center" vertical="center"/>
      <protection/>
    </xf>
    <xf numFmtId="180" fontId="77" fillId="34" borderId="30" xfId="0" applyNumberFormat="1" applyFont="1" applyFill="1" applyBorder="1" applyAlignment="1" applyProtection="1" quotePrefix="1">
      <alignment horizontal="center" vertical="center"/>
      <protection/>
    </xf>
    <xf numFmtId="180" fontId="39" fillId="35" borderId="99" xfId="0" applyNumberFormat="1" applyFont="1" applyFill="1" applyBorder="1" applyAlignment="1" applyProtection="1">
      <alignment horizontal="center" vertical="center"/>
      <protection/>
    </xf>
    <xf numFmtId="191" fontId="34" fillId="35" borderId="100" xfId="0" applyNumberFormat="1" applyFont="1" applyFill="1" applyBorder="1" applyAlignment="1" applyProtection="1">
      <alignment horizontal="center" vertical="center"/>
      <protection/>
    </xf>
    <xf numFmtId="0" fontId="1" fillId="49" borderId="101" xfId="0" applyFont="1" applyFill="1" applyBorder="1" applyAlignment="1">
      <alignment/>
    </xf>
    <xf numFmtId="0" fontId="1" fillId="49" borderId="102" xfId="0" applyFont="1" applyFill="1" applyBorder="1" applyAlignment="1">
      <alignment/>
    </xf>
    <xf numFmtId="0" fontId="39" fillId="33" borderId="0" xfId="0" applyFont="1" applyFill="1" applyAlignment="1">
      <alignment horizontal="left"/>
    </xf>
    <xf numFmtId="0" fontId="39" fillId="33" borderId="0" xfId="0" applyFont="1" applyFill="1" applyAlignment="1" applyProtection="1">
      <alignment horizontal="left"/>
      <protection/>
    </xf>
    <xf numFmtId="0" fontId="56" fillId="33" borderId="0" xfId="0" applyFont="1" applyFill="1" applyAlignment="1">
      <alignment horizontal="center"/>
    </xf>
    <xf numFmtId="1" fontId="40" fillId="35" borderId="98" xfId="0" applyNumberFormat="1" applyFont="1" applyFill="1" applyBorder="1" applyAlignment="1" applyProtection="1">
      <alignment horizontal="left" vertical="center"/>
      <protection/>
    </xf>
    <xf numFmtId="1" fontId="34" fillId="35" borderId="98" xfId="0" applyNumberFormat="1" applyFont="1" applyFill="1" applyBorder="1" applyAlignment="1" applyProtection="1">
      <alignment horizontal="left" vertical="center"/>
      <protection/>
    </xf>
    <xf numFmtId="180" fontId="34" fillId="51" borderId="21" xfId="0" applyNumberFormat="1" applyFont="1" applyFill="1" applyBorder="1" applyAlignment="1" applyProtection="1">
      <alignment horizontal="center" vertical="center"/>
      <protection/>
    </xf>
    <xf numFmtId="2" fontId="6" fillId="33" borderId="103" xfId="0" applyNumberFormat="1" applyFont="1" applyFill="1" applyBorder="1" applyAlignment="1">
      <alignment horizontal="center"/>
    </xf>
    <xf numFmtId="0" fontId="19" fillId="33" borderId="0" xfId="0" applyFont="1" applyFill="1" applyBorder="1" applyAlignment="1">
      <alignment/>
    </xf>
    <xf numFmtId="0" fontId="13" fillId="33" borderId="0" xfId="0" applyFont="1" applyFill="1" applyBorder="1" applyAlignment="1">
      <alignment horizontal="right"/>
    </xf>
    <xf numFmtId="0" fontId="19" fillId="33" borderId="0" xfId="0" applyFont="1" applyFill="1" applyBorder="1" applyAlignment="1">
      <alignment horizontal="right"/>
    </xf>
    <xf numFmtId="0" fontId="22" fillId="33" borderId="0" xfId="0" applyFont="1" applyFill="1" applyBorder="1" applyAlignment="1" applyProtection="1">
      <alignment horizontal="left"/>
      <protection locked="0"/>
    </xf>
    <xf numFmtId="0" fontId="26" fillId="33" borderId="0" xfId="0" applyFont="1" applyFill="1" applyBorder="1" applyAlignment="1" applyProtection="1">
      <alignment horizontal="left"/>
      <protection locked="0"/>
    </xf>
    <xf numFmtId="0" fontId="58" fillId="33" borderId="0" xfId="0" applyFont="1" applyFill="1" applyBorder="1" applyAlignment="1" applyProtection="1">
      <alignment horizontal="left"/>
      <protection locked="0"/>
    </xf>
    <xf numFmtId="0" fontId="29" fillId="33" borderId="0" xfId="0" applyFont="1" applyFill="1" applyBorder="1" applyAlignment="1" applyProtection="1">
      <alignment/>
      <protection locked="0"/>
    </xf>
    <xf numFmtId="0" fontId="13" fillId="33" borderId="0" xfId="0" applyFont="1" applyFill="1" applyBorder="1" applyAlignment="1" applyProtection="1">
      <alignment/>
      <protection locked="0"/>
    </xf>
    <xf numFmtId="0" fontId="22" fillId="33" borderId="0" xfId="0" applyFont="1" applyFill="1" applyBorder="1" applyAlignment="1">
      <alignment/>
    </xf>
    <xf numFmtId="0" fontId="23" fillId="33" borderId="0" xfId="0" applyFont="1" applyFill="1" applyBorder="1" applyAlignment="1">
      <alignment/>
    </xf>
    <xf numFmtId="0" fontId="13" fillId="33" borderId="0" xfId="0" applyFont="1" applyFill="1" applyBorder="1" applyAlignment="1" applyProtection="1">
      <alignment horizontal="right"/>
      <protection locked="0"/>
    </xf>
    <xf numFmtId="0" fontId="71" fillId="33" borderId="0" xfId="0" applyFont="1" applyFill="1" applyBorder="1" applyAlignment="1">
      <alignment/>
    </xf>
    <xf numFmtId="0" fontId="57" fillId="37" borderId="92" xfId="0" applyNumberFormat="1" applyFont="1" applyFill="1" applyBorder="1" applyAlignment="1" applyProtection="1">
      <alignment horizontal="center" vertical="center" wrapText="1" shrinkToFit="1"/>
      <protection/>
    </xf>
    <xf numFmtId="180" fontId="3" fillId="38" borderId="92" xfId="0" applyNumberFormat="1" applyFont="1" applyFill="1" applyBorder="1" applyAlignment="1" applyProtection="1">
      <alignment horizontal="center" vertical="center"/>
      <protection/>
    </xf>
    <xf numFmtId="180" fontId="3" fillId="0" borderId="92" xfId="0" applyNumberFormat="1" applyFont="1" applyBorder="1" applyAlignment="1" applyProtection="1">
      <alignment horizontal="center" vertical="center"/>
      <protection/>
    </xf>
    <xf numFmtId="180" fontId="3" fillId="0" borderId="92" xfId="0" applyNumberFormat="1" applyFont="1" applyFill="1" applyBorder="1" applyAlignment="1" applyProtection="1">
      <alignment horizontal="center" vertical="center"/>
      <protection/>
    </xf>
    <xf numFmtId="180" fontId="3" fillId="34" borderId="92" xfId="0" applyNumberFormat="1" applyFont="1" applyFill="1" applyBorder="1" applyAlignment="1" applyProtection="1">
      <alignment horizontal="center" vertical="center"/>
      <protection/>
    </xf>
    <xf numFmtId="2" fontId="57" fillId="37" borderId="92" xfId="0" applyNumberFormat="1" applyFont="1" applyFill="1" applyBorder="1" applyAlignment="1" applyProtection="1">
      <alignment horizontal="center" vertical="center" wrapText="1" shrinkToFit="1"/>
      <protection/>
    </xf>
    <xf numFmtId="2" fontId="3" fillId="38" borderId="92" xfId="0" applyNumberFormat="1" applyFont="1" applyFill="1" applyBorder="1" applyAlignment="1" applyProtection="1">
      <alignment horizontal="center" vertical="center"/>
      <protection/>
    </xf>
    <xf numFmtId="2" fontId="3" fillId="0" borderId="92" xfId="0" applyNumberFormat="1" applyFont="1" applyBorder="1" applyAlignment="1" applyProtection="1">
      <alignment horizontal="center" vertical="center"/>
      <protection/>
    </xf>
    <xf numFmtId="2" fontId="3" fillId="0" borderId="92" xfId="0" applyNumberFormat="1" applyFont="1" applyFill="1" applyBorder="1" applyAlignment="1" applyProtection="1">
      <alignment horizontal="center" vertical="center"/>
      <protection/>
    </xf>
    <xf numFmtId="2" fontId="3" fillId="34" borderId="92" xfId="0" applyNumberFormat="1" applyFont="1" applyFill="1" applyBorder="1" applyAlignment="1" applyProtection="1">
      <alignment horizontal="center" vertical="center"/>
      <protection/>
    </xf>
    <xf numFmtId="0" fontId="19" fillId="33" borderId="39" xfId="0" applyFont="1" applyFill="1" applyBorder="1" applyAlignment="1">
      <alignment/>
    </xf>
    <xf numFmtId="0" fontId="19" fillId="33" borderId="0" xfId="0" applyFont="1" applyFill="1" applyAlignment="1">
      <alignment/>
    </xf>
    <xf numFmtId="0" fontId="19" fillId="0" borderId="0" xfId="0" applyFont="1" applyAlignment="1">
      <alignment horizontal="center"/>
    </xf>
    <xf numFmtId="0" fontId="0" fillId="33" borderId="0" xfId="0" applyFill="1" applyAlignment="1" quotePrefix="1">
      <alignment/>
    </xf>
    <xf numFmtId="1" fontId="19" fillId="33" borderId="0" xfId="0" applyNumberFormat="1" applyFont="1" applyFill="1" applyAlignment="1">
      <alignment/>
    </xf>
    <xf numFmtId="1" fontId="13" fillId="33" borderId="0" xfId="0" applyNumberFormat="1" applyFont="1" applyFill="1" applyAlignment="1">
      <alignment/>
    </xf>
    <xf numFmtId="1" fontId="23" fillId="33" borderId="0" xfId="0" applyNumberFormat="1" applyFont="1" applyFill="1" applyAlignment="1">
      <alignment/>
    </xf>
    <xf numFmtId="1" fontId="22" fillId="33" borderId="0" xfId="0" applyNumberFormat="1" applyFont="1" applyFill="1" applyAlignment="1">
      <alignment/>
    </xf>
    <xf numFmtId="0" fontId="19" fillId="44" borderId="0" xfId="0" applyFont="1" applyFill="1" applyAlignment="1">
      <alignment horizontal="center"/>
    </xf>
    <xf numFmtId="0" fontId="19" fillId="44" borderId="0" xfId="58" applyFont="1" applyFill="1" applyAlignment="1">
      <alignment horizontal="center"/>
      <protection/>
    </xf>
    <xf numFmtId="1" fontId="19" fillId="44" borderId="0" xfId="58" applyNumberFormat="1" applyFont="1" applyFill="1">
      <alignment/>
      <protection/>
    </xf>
    <xf numFmtId="0" fontId="19" fillId="44" borderId="0" xfId="58" applyFont="1" applyFill="1">
      <alignment/>
      <protection/>
    </xf>
    <xf numFmtId="0" fontId="19" fillId="0" borderId="0" xfId="58" applyFont="1" applyFill="1" applyAlignment="1">
      <alignment horizontal="center"/>
      <protection/>
    </xf>
    <xf numFmtId="0" fontId="19" fillId="0" borderId="0" xfId="58" applyFont="1" applyFill="1">
      <alignment/>
      <protection/>
    </xf>
    <xf numFmtId="0" fontId="19" fillId="0" borderId="0" xfId="0" applyFont="1" applyFill="1" applyAlignment="1">
      <alignment/>
    </xf>
    <xf numFmtId="0" fontId="6" fillId="33" borderId="0" xfId="0" applyFont="1" applyFill="1" applyAlignment="1" quotePrefix="1">
      <alignment/>
    </xf>
    <xf numFmtId="2" fontId="6" fillId="33" borderId="104" xfId="0" applyNumberFormat="1" applyFont="1" applyFill="1" applyBorder="1" applyAlignment="1" applyProtection="1">
      <alignment horizontal="center" vertical="center"/>
      <protection/>
    </xf>
    <xf numFmtId="2" fontId="6" fillId="33" borderId="105" xfId="0" applyNumberFormat="1" applyFont="1" applyFill="1" applyBorder="1" applyAlignment="1" applyProtection="1">
      <alignment horizontal="center" vertical="center"/>
      <protection/>
    </xf>
    <xf numFmtId="0" fontId="0" fillId="44" borderId="0" xfId="0" applyFill="1" applyBorder="1" applyAlignment="1">
      <alignment/>
    </xf>
    <xf numFmtId="0" fontId="1" fillId="33" borderId="54" xfId="0" applyFont="1" applyFill="1" applyBorder="1" applyAlignment="1">
      <alignment/>
    </xf>
    <xf numFmtId="0" fontId="19" fillId="44" borderId="106" xfId="0" applyFont="1" applyFill="1" applyBorder="1" applyAlignment="1" applyProtection="1">
      <alignment horizontal="center" vertical="center"/>
      <protection locked="0"/>
    </xf>
    <xf numFmtId="0" fontId="19" fillId="44" borderId="107" xfId="0" applyFont="1" applyFill="1" applyBorder="1" applyAlignment="1" applyProtection="1">
      <alignment horizontal="center" vertical="center"/>
      <protection locked="0"/>
    </xf>
    <xf numFmtId="0" fontId="19" fillId="44" borderId="106" xfId="0" applyNumberFormat="1" applyFont="1" applyFill="1" applyBorder="1" applyAlignment="1" applyProtection="1">
      <alignment horizontal="center" vertical="center"/>
      <protection locked="0"/>
    </xf>
    <xf numFmtId="0" fontId="19" fillId="44" borderId="107" xfId="0" applyNumberFormat="1" applyFont="1" applyFill="1" applyBorder="1" applyAlignment="1" applyProtection="1">
      <alignment horizontal="center" vertical="center"/>
      <protection locked="0"/>
    </xf>
    <xf numFmtId="197" fontId="31" fillId="35" borderId="37" xfId="0" applyNumberFormat="1" applyFont="1" applyFill="1" applyBorder="1" applyAlignment="1" applyProtection="1">
      <alignment horizontal="center" vertical="center"/>
      <protection/>
    </xf>
    <xf numFmtId="180" fontId="34" fillId="35" borderId="108" xfId="0" applyNumberFormat="1" applyFont="1" applyFill="1" applyBorder="1" applyAlignment="1" applyProtection="1">
      <alignment horizontal="center" vertical="center"/>
      <protection/>
    </xf>
    <xf numFmtId="0" fontId="73" fillId="0" borderId="0" xfId="58" applyFont="1" applyFill="1">
      <alignment/>
      <protection/>
    </xf>
    <xf numFmtId="0" fontId="73" fillId="0" borderId="0" xfId="0" applyFont="1" applyFill="1" applyAlignment="1">
      <alignment horizontal="center"/>
    </xf>
    <xf numFmtId="0" fontId="73" fillId="33" borderId="0" xfId="0" applyFont="1" applyFill="1" applyAlignment="1">
      <alignment horizontal="center"/>
    </xf>
    <xf numFmtId="0" fontId="79" fillId="44" borderId="0" xfId="0" applyFont="1" applyFill="1" applyAlignment="1">
      <alignment horizontal="center"/>
    </xf>
    <xf numFmtId="0" fontId="58" fillId="33" borderId="0" xfId="0" applyFont="1" applyFill="1" applyAlignment="1" applyProtection="1">
      <alignment horizontal="center"/>
      <protection locked="0"/>
    </xf>
    <xf numFmtId="0" fontId="58" fillId="33" borderId="0" xfId="0" applyFont="1" applyFill="1" applyAlignment="1">
      <alignment horizontal="center"/>
    </xf>
    <xf numFmtId="0" fontId="73" fillId="44" borderId="109" xfId="58" applyFont="1" applyFill="1" applyBorder="1" applyAlignment="1">
      <alignment horizontal="center"/>
      <protection/>
    </xf>
    <xf numFmtId="0" fontId="42" fillId="53" borderId="110" xfId="58" applyFont="1" applyFill="1" applyBorder="1" applyAlignment="1">
      <alignment horizontal="center"/>
      <protection/>
    </xf>
    <xf numFmtId="0" fontId="82" fillId="54" borderId="111" xfId="58" applyFont="1" applyFill="1" applyBorder="1" applyAlignment="1">
      <alignment horizontal="center"/>
      <protection/>
    </xf>
    <xf numFmtId="0" fontId="82" fillId="55" borderId="112" xfId="58" applyFont="1" applyFill="1" applyBorder="1" applyAlignment="1">
      <alignment horizontal="center"/>
      <protection/>
    </xf>
    <xf numFmtId="0" fontId="14" fillId="50" borderId="113" xfId="58" applyFont="1" applyFill="1" applyBorder="1" applyAlignment="1">
      <alignment horizontal="center"/>
      <protection/>
    </xf>
    <xf numFmtId="1" fontId="14" fillId="50" borderId="114" xfId="58" applyNumberFormat="1" applyFont="1" applyFill="1" applyBorder="1" applyAlignment="1">
      <alignment horizontal="center"/>
      <protection/>
    </xf>
    <xf numFmtId="0" fontId="40" fillId="53" borderId="115" xfId="58" applyFont="1" applyFill="1" applyBorder="1" applyAlignment="1">
      <alignment horizontal="center"/>
      <protection/>
    </xf>
    <xf numFmtId="0" fontId="83" fillId="54" borderId="116" xfId="58" applyFont="1" applyFill="1" applyBorder="1" applyAlignment="1">
      <alignment horizontal="center"/>
      <protection/>
    </xf>
    <xf numFmtId="0" fontId="80" fillId="55" borderId="117" xfId="58" applyFont="1" applyFill="1" applyBorder="1" applyAlignment="1">
      <alignment horizontal="center"/>
      <protection/>
    </xf>
    <xf numFmtId="0" fontId="84" fillId="44" borderId="118" xfId="58" applyFont="1" applyFill="1" applyBorder="1" applyAlignment="1">
      <alignment horizontal="center"/>
      <protection/>
    </xf>
    <xf numFmtId="1" fontId="19" fillId="0" borderId="92" xfId="58" applyNumberFormat="1" applyFont="1" applyFill="1" applyBorder="1" applyAlignment="1">
      <alignment horizontal="center"/>
      <protection/>
    </xf>
    <xf numFmtId="0" fontId="19" fillId="56" borderId="92" xfId="58" applyFont="1" applyFill="1" applyBorder="1" applyAlignment="1">
      <alignment horizontal="center"/>
      <protection/>
    </xf>
    <xf numFmtId="0" fontId="19" fillId="54" borderId="92" xfId="58" applyFont="1" applyFill="1" applyBorder="1" applyAlignment="1">
      <alignment horizontal="center"/>
      <protection/>
    </xf>
    <xf numFmtId="0" fontId="19" fillId="55" borderId="92" xfId="58" applyFont="1" applyFill="1" applyBorder="1" applyAlignment="1">
      <alignment horizontal="center"/>
      <protection/>
    </xf>
    <xf numFmtId="0" fontId="19" fillId="44" borderId="92" xfId="58" applyFont="1" applyFill="1" applyBorder="1" applyAlignment="1">
      <alignment horizontal="center"/>
      <protection/>
    </xf>
    <xf numFmtId="1" fontId="19" fillId="0" borderId="92" xfId="58" applyNumberFormat="1" applyFont="1" applyFill="1" applyBorder="1">
      <alignment/>
      <protection/>
    </xf>
    <xf numFmtId="0" fontId="19" fillId="56" borderId="92" xfId="58" applyFont="1" applyFill="1" applyBorder="1">
      <alignment/>
      <protection/>
    </xf>
    <xf numFmtId="0" fontId="19" fillId="54" borderId="92" xfId="58" applyFont="1" applyFill="1" applyBorder="1">
      <alignment/>
      <protection/>
    </xf>
    <xf numFmtId="0" fontId="19" fillId="55" borderId="92" xfId="58" applyFont="1" applyFill="1" applyBorder="1">
      <alignment/>
      <protection/>
    </xf>
    <xf numFmtId="0" fontId="19" fillId="44" borderId="92" xfId="58" applyFont="1" applyFill="1" applyBorder="1">
      <alignment/>
      <protection/>
    </xf>
    <xf numFmtId="0" fontId="19" fillId="33" borderId="85" xfId="0" applyFont="1" applyFill="1" applyBorder="1" applyAlignment="1">
      <alignment horizontal="center"/>
    </xf>
    <xf numFmtId="0" fontId="1" fillId="57" borderId="0" xfId="0" applyFont="1" applyFill="1" applyAlignment="1">
      <alignment horizontal="left"/>
    </xf>
    <xf numFmtId="0" fontId="26" fillId="57" borderId="0" xfId="0" applyFont="1" applyFill="1" applyAlignment="1" applyProtection="1">
      <alignment horizontal="left"/>
      <protection locked="0"/>
    </xf>
    <xf numFmtId="0" fontId="26" fillId="57" borderId="0" xfId="0" applyFont="1" applyFill="1" applyAlignment="1" applyProtection="1">
      <alignment horizontal="center"/>
      <protection locked="0"/>
    </xf>
    <xf numFmtId="0" fontId="58" fillId="57" borderId="0" xfId="0" applyFont="1" applyFill="1" applyAlignment="1" applyProtection="1">
      <alignment horizontal="center"/>
      <protection locked="0"/>
    </xf>
    <xf numFmtId="0" fontId="81" fillId="58" borderId="119" xfId="58" applyFont="1" applyFill="1" applyBorder="1" applyAlignment="1">
      <alignment horizontal="center"/>
      <protection/>
    </xf>
    <xf numFmtId="0" fontId="17" fillId="58" borderId="120" xfId="58" applyFont="1" applyFill="1" applyBorder="1" applyAlignment="1">
      <alignment horizontal="center"/>
      <protection/>
    </xf>
    <xf numFmtId="180" fontId="5" fillId="33" borderId="0" xfId="0" applyNumberFormat="1" applyFont="1" applyFill="1" applyAlignment="1" applyProtection="1">
      <alignment horizontal="center"/>
      <protection locked="0"/>
    </xf>
    <xf numFmtId="2" fontId="1" fillId="33" borderId="0" xfId="0" applyNumberFormat="1" applyFont="1" applyFill="1" applyAlignment="1">
      <alignment horizontal="center"/>
    </xf>
    <xf numFmtId="2" fontId="12" fillId="33" borderId="0" xfId="0" applyNumberFormat="1" applyFont="1" applyFill="1" applyAlignment="1">
      <alignment horizontal="center"/>
    </xf>
    <xf numFmtId="184" fontId="25" fillId="0" borderId="0" xfId="0" applyNumberFormat="1" applyFont="1" applyFill="1" applyBorder="1" applyAlignment="1" applyProtection="1">
      <alignment horizontal="center" vertical="center"/>
      <protection/>
    </xf>
    <xf numFmtId="0" fontId="73" fillId="0" borderId="44" xfId="0" applyFont="1" applyBorder="1" applyAlignment="1">
      <alignment horizontal="center"/>
    </xf>
    <xf numFmtId="0" fontId="3" fillId="33" borderId="0" xfId="0" applyFont="1" applyFill="1" applyAlignment="1" applyProtection="1">
      <alignment horizontal="right"/>
      <protection/>
    </xf>
    <xf numFmtId="2" fontId="19" fillId="33" borderId="0" xfId="0" applyNumberFormat="1" applyFont="1" applyFill="1" applyAlignment="1">
      <alignment horizontal="center"/>
    </xf>
    <xf numFmtId="180" fontId="1" fillId="33" borderId="0" xfId="0" applyNumberFormat="1" applyFont="1" applyFill="1" applyAlignment="1">
      <alignment horizontal="center"/>
    </xf>
    <xf numFmtId="180" fontId="19" fillId="33" borderId="0" xfId="0" applyNumberFormat="1" applyFont="1" applyFill="1" applyAlignment="1">
      <alignment horizontal="left"/>
    </xf>
    <xf numFmtId="180" fontId="63" fillId="33" borderId="0" xfId="0" applyNumberFormat="1" applyFont="1" applyFill="1" applyAlignment="1">
      <alignment horizontal="center"/>
    </xf>
    <xf numFmtId="0" fontId="5" fillId="59" borderId="121" xfId="0" applyFont="1" applyFill="1" applyBorder="1" applyAlignment="1">
      <alignment horizontal="left" vertical="top"/>
    </xf>
    <xf numFmtId="0" fontId="25" fillId="33" borderId="0" xfId="0" applyFont="1" applyFill="1" applyAlignment="1" applyProtection="1">
      <alignment horizontal="right" vertical="center"/>
      <protection/>
    </xf>
    <xf numFmtId="205" fontId="6" fillId="33" borderId="0" xfId="0" applyNumberFormat="1" applyFont="1" applyFill="1" applyAlignment="1">
      <alignment/>
    </xf>
    <xf numFmtId="0" fontId="6" fillId="33" borderId="0" xfId="0" applyFont="1" applyFill="1" applyAlignment="1" applyProtection="1">
      <alignment vertical="center"/>
      <protection hidden="1"/>
    </xf>
    <xf numFmtId="191" fontId="17" fillId="35" borderId="59" xfId="0" applyNumberFormat="1" applyFont="1" applyFill="1" applyBorder="1" applyAlignment="1" applyProtection="1">
      <alignment horizontal="center" vertical="center"/>
      <protection locked="0"/>
    </xf>
    <xf numFmtId="0" fontId="13" fillId="33" borderId="0" xfId="0" applyFont="1" applyFill="1" applyAlignment="1">
      <alignment horizontal="right" vertical="center"/>
    </xf>
    <xf numFmtId="0" fontId="13" fillId="33" borderId="0" xfId="0" applyFont="1" applyFill="1" applyAlignment="1">
      <alignment vertical="top"/>
    </xf>
    <xf numFmtId="0" fontId="19" fillId="0" borderId="36" xfId="0" applyFont="1" applyFill="1" applyBorder="1" applyAlignment="1" applyProtection="1">
      <alignment horizontal="center" vertical="center"/>
      <protection locked="0"/>
    </xf>
    <xf numFmtId="0" fontId="0" fillId="0" borderId="36" xfId="0" applyBorder="1" applyAlignment="1">
      <alignment/>
    </xf>
    <xf numFmtId="0" fontId="0" fillId="0" borderId="37" xfId="0" applyBorder="1" applyAlignment="1">
      <alignment/>
    </xf>
    <xf numFmtId="0" fontId="19" fillId="0" borderId="36" xfId="0" applyNumberFormat="1" applyFont="1" applyBorder="1" applyAlignment="1" applyProtection="1">
      <alignment horizontal="center" vertical="center"/>
      <protection locked="0"/>
    </xf>
    <xf numFmtId="0" fontId="19" fillId="0" borderId="36" xfId="0" applyNumberFormat="1" applyFont="1" applyFill="1" applyBorder="1" applyAlignment="1" applyProtection="1">
      <alignment horizontal="center" vertical="center"/>
      <protection locked="0"/>
    </xf>
    <xf numFmtId="0" fontId="19" fillId="0" borderId="122" xfId="0" applyNumberFormat="1" applyFont="1" applyBorder="1" applyAlignment="1" applyProtection="1">
      <alignment horizontal="center" vertical="center"/>
      <protection locked="0"/>
    </xf>
    <xf numFmtId="0" fontId="26" fillId="33" borderId="0" xfId="0" applyFont="1" applyFill="1" applyAlignment="1" applyProtection="1">
      <alignment horizontal="left"/>
      <protection locked="0"/>
    </xf>
    <xf numFmtId="0" fontId="13" fillId="0" borderId="123" xfId="0" applyFont="1" applyBorder="1" applyAlignment="1">
      <alignment horizontal="center" vertical="center"/>
    </xf>
    <xf numFmtId="0" fontId="13" fillId="0" borderId="34" xfId="0" applyFont="1" applyBorder="1" applyAlignment="1">
      <alignment horizontal="center" vertical="center"/>
    </xf>
    <xf numFmtId="0" fontId="13" fillId="0" borderId="124" xfId="0" applyFont="1" applyBorder="1" applyAlignment="1">
      <alignment horizontal="center" vertical="center"/>
    </xf>
    <xf numFmtId="0" fontId="3" fillId="0" borderId="125" xfId="0"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0" borderId="126" xfId="0" applyFont="1" applyBorder="1" applyAlignment="1" applyProtection="1">
      <alignment horizontal="center" vertical="center"/>
      <protection locked="0"/>
    </xf>
    <xf numFmtId="206" fontId="6" fillId="33" borderId="0" xfId="0" applyNumberFormat="1" applyFont="1" applyFill="1" applyBorder="1" applyAlignment="1">
      <alignment/>
    </xf>
    <xf numFmtId="49" fontId="20" fillId="35" borderId="59" xfId="0" applyNumberFormat="1" applyFont="1" applyFill="1" applyBorder="1" applyAlignment="1" applyProtection="1">
      <alignment horizontal="left" vertical="center"/>
      <protection locked="0"/>
    </xf>
    <xf numFmtId="0" fontId="31" fillId="38" borderId="127" xfId="0" applyFont="1" applyFill="1" applyBorder="1" applyAlignment="1">
      <alignment horizontal="right"/>
    </xf>
    <xf numFmtId="0" fontId="67" fillId="0" borderId="128" xfId="0" applyFont="1" applyBorder="1" applyAlignment="1">
      <alignment horizontal="right"/>
    </xf>
    <xf numFmtId="49" fontId="7" fillId="35" borderId="59" xfId="0" applyNumberFormat="1" applyFont="1" applyFill="1" applyBorder="1" applyAlignment="1" applyProtection="1">
      <alignment horizontal="center" vertical="center"/>
      <protection locked="0"/>
    </xf>
    <xf numFmtId="189" fontId="31" fillId="35" borderId="62" xfId="0" applyNumberFormat="1" applyFont="1" applyFill="1" applyBorder="1" applyAlignment="1" applyProtection="1">
      <alignment horizontal="right" vertical="center"/>
      <protection/>
    </xf>
    <xf numFmtId="204" fontId="31" fillId="35" borderId="62" xfId="0" applyNumberFormat="1" applyFont="1" applyFill="1" applyBorder="1" applyAlignment="1" applyProtection="1">
      <alignment horizontal="center" vertical="center"/>
      <protection/>
    </xf>
    <xf numFmtId="181" fontId="3" fillId="35" borderId="59" xfId="0" applyNumberFormat="1" applyFont="1" applyFill="1" applyBorder="1" applyAlignment="1" applyProtection="1">
      <alignment horizontal="center" vertical="center"/>
      <protection locked="0"/>
    </xf>
    <xf numFmtId="210" fontId="12" fillId="35" borderId="68" xfId="0" applyNumberFormat="1" applyFont="1" applyFill="1" applyBorder="1" applyAlignment="1" applyProtection="1">
      <alignment horizontal="center" vertical="center"/>
      <protection/>
    </xf>
    <xf numFmtId="0" fontId="4" fillId="38" borderId="129" xfId="0" applyFont="1" applyFill="1" applyBorder="1" applyAlignment="1" applyProtection="1">
      <alignment horizontal="left" vertical="center"/>
      <protection locked="0"/>
    </xf>
    <xf numFmtId="0" fontId="4" fillId="0" borderId="129" xfId="0" applyFont="1" applyBorder="1" applyAlignment="1">
      <alignment horizontal="left"/>
    </xf>
    <xf numFmtId="180" fontId="7" fillId="34" borderId="0" xfId="0" applyNumberFormat="1" applyFont="1" applyFill="1" applyBorder="1" applyAlignment="1" applyProtection="1">
      <alignment horizontal="left" vertical="center"/>
      <protection/>
    </xf>
    <xf numFmtId="0" fontId="20" fillId="39" borderId="0" xfId="0" applyFont="1" applyFill="1" applyBorder="1" applyAlignment="1">
      <alignment vertical="center" wrapText="1"/>
    </xf>
    <xf numFmtId="0" fontId="29" fillId="0" borderId="129" xfId="0" applyFont="1" applyBorder="1" applyAlignment="1">
      <alignment horizontal="left" vertical="center"/>
    </xf>
    <xf numFmtId="0" fontId="2" fillId="35" borderId="11" xfId="0" applyNumberFormat="1" applyFont="1" applyFill="1" applyBorder="1" applyAlignment="1" applyProtection="1">
      <alignment horizontal="center" vertical="center"/>
      <protection locked="0"/>
    </xf>
    <xf numFmtId="0" fontId="13" fillId="33" borderId="10" xfId="0" applyFont="1" applyFill="1" applyBorder="1" applyAlignment="1" applyProtection="1" quotePrefix="1">
      <alignment horizontal="center" vertical="center" wrapText="1"/>
      <protection/>
    </xf>
    <xf numFmtId="0" fontId="0" fillId="0" borderId="0" xfId="0" applyAlignment="1">
      <alignment wrapText="1"/>
    </xf>
    <xf numFmtId="0" fontId="0" fillId="0" borderId="130" xfId="0" applyBorder="1" applyAlignment="1">
      <alignment wrapText="1"/>
    </xf>
    <xf numFmtId="0" fontId="0" fillId="0" borderId="131" xfId="0" applyBorder="1" applyAlignment="1">
      <alignment wrapText="1"/>
    </xf>
    <xf numFmtId="0" fontId="12" fillId="35" borderId="132" xfId="0" applyFont="1" applyFill="1" applyBorder="1" applyAlignment="1">
      <alignment horizontal="left" vertical="top"/>
    </xf>
    <xf numFmtId="0" fontId="0" fillId="0" borderId="0" xfId="0" applyAlignment="1">
      <alignment/>
    </xf>
    <xf numFmtId="212" fontId="8" fillId="35" borderId="133" xfId="0" applyNumberFormat="1" applyFont="1" applyFill="1" applyBorder="1" applyAlignment="1" applyProtection="1">
      <alignment horizontal="center" vertical="center"/>
      <protection locked="0"/>
    </xf>
    <xf numFmtId="212" fontId="0" fillId="0" borderId="134" xfId="0" applyNumberFormat="1" applyBorder="1" applyAlignment="1" applyProtection="1">
      <alignment horizontal="center" vertical="center"/>
      <protection locked="0"/>
    </xf>
    <xf numFmtId="49" fontId="3" fillId="35" borderId="11" xfId="0" applyNumberFormat="1" applyFont="1" applyFill="1" applyBorder="1" applyAlignment="1" applyProtection="1">
      <alignment horizontal="center" vertical="center"/>
      <protection locked="0"/>
    </xf>
    <xf numFmtId="0" fontId="13" fillId="33" borderId="0" xfId="0" applyFont="1" applyFill="1" applyAlignment="1">
      <alignment horizontal="left" vertical="top" wrapText="1"/>
    </xf>
    <xf numFmtId="0" fontId="0" fillId="0" borderId="0" xfId="0" applyAlignment="1">
      <alignment horizontal="left" vertical="top" wrapText="1"/>
    </xf>
    <xf numFmtId="0" fontId="78" fillId="44" borderId="132" xfId="0" applyNumberFormat="1" applyFont="1" applyFill="1" applyBorder="1" applyAlignment="1" applyProtection="1">
      <alignment horizontal="center" vertical="center"/>
      <protection locked="0"/>
    </xf>
    <xf numFmtId="0" fontId="9" fillId="0" borderId="0" xfId="0" applyFont="1" applyBorder="1" applyAlignment="1">
      <alignment horizontal="center" vertical="center"/>
    </xf>
    <xf numFmtId="0" fontId="12" fillId="35" borderId="10" xfId="0" applyFont="1" applyFill="1" applyBorder="1" applyAlignment="1">
      <alignment horizontal="center" vertical="top"/>
    </xf>
    <xf numFmtId="0" fontId="0" fillId="0" borderId="0" xfId="0" applyFont="1" applyAlignment="1">
      <alignment horizontal="center"/>
    </xf>
    <xf numFmtId="0" fontId="19" fillId="33" borderId="135" xfId="0" applyFont="1" applyFill="1" applyBorder="1" applyAlignment="1">
      <alignment/>
    </xf>
    <xf numFmtId="0" fontId="19" fillId="33" borderId="0" xfId="0" applyFont="1" applyFill="1" applyBorder="1" applyAlignment="1">
      <alignment/>
    </xf>
    <xf numFmtId="221" fontId="34" fillId="35" borderId="136" xfId="0" applyNumberFormat="1" applyFont="1" applyFill="1" applyBorder="1" applyAlignment="1" applyProtection="1">
      <alignment horizontal="right" vertical="center"/>
      <protection/>
    </xf>
    <xf numFmtId="221" fontId="0" fillId="0" borderId="137" xfId="0" applyNumberFormat="1" applyBorder="1" applyAlignment="1">
      <alignment horizontal="right"/>
    </xf>
    <xf numFmtId="222" fontId="34" fillId="35" borderId="137" xfId="0" applyNumberFormat="1" applyFont="1" applyFill="1" applyBorder="1" applyAlignment="1" applyProtection="1">
      <alignment horizontal="left" vertical="center"/>
      <protection/>
    </xf>
    <xf numFmtId="222" fontId="0" fillId="0" borderId="138" xfId="0" applyNumberFormat="1" applyBorder="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ard_Bierkleur" xfId="58"/>
    <cellStyle name="Title" xfId="59"/>
    <cellStyle name="Total" xfId="60"/>
    <cellStyle name="Warning Text" xfId="61"/>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F2FFFF"/>
      <rgbColor rgb="00660066"/>
      <rgbColor rgb="00FF8080"/>
      <rgbColor rgb="000066CC"/>
      <rgbColor rgb="00F8FFFF"/>
      <rgbColor rgb="00000080"/>
      <rgbColor rgb="00FF00FF"/>
      <rgbColor rgb="00FFFFE5"/>
      <rgbColor rgb="0000FFFF"/>
      <rgbColor rgb="00800080"/>
      <rgbColor rgb="00800000"/>
      <rgbColor rgb="00008080"/>
      <rgbColor rgb="000000FF"/>
      <rgbColor rgb="0000CCFF"/>
      <rgbColor rgb="00F2FFF2"/>
      <rgbColor rgb="00CCFFCC"/>
      <rgbColor rgb="00FFFF99"/>
      <rgbColor rgb="00FFFFF8"/>
      <rgbColor rgb="00FFFFEF"/>
      <rgbColor rgb="00FFFFF2"/>
      <rgbColor rgb="00FFFFD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28</xdr:row>
      <xdr:rowOff>28575</xdr:rowOff>
    </xdr:from>
    <xdr:to>
      <xdr:col>5</xdr:col>
      <xdr:colOff>304800</xdr:colOff>
      <xdr:row>31</xdr:row>
      <xdr:rowOff>85725</xdr:rowOff>
    </xdr:to>
    <xdr:sp>
      <xdr:nvSpPr>
        <xdr:cNvPr id="1" name="Rectangle 629"/>
        <xdr:cNvSpPr>
          <a:spLocks/>
        </xdr:cNvSpPr>
      </xdr:nvSpPr>
      <xdr:spPr>
        <a:xfrm>
          <a:off x="2886075" y="4391025"/>
          <a:ext cx="609600" cy="5143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BF754"/>
  <sheetViews>
    <sheetView tabSelected="1" zoomScale="120" zoomScaleNormal="120" zoomScaleSheetLayoutView="100" zoomScalePageLayoutView="0" workbookViewId="0" topLeftCell="A40">
      <selection activeCell="A59" sqref="A59:J65"/>
    </sheetView>
  </sheetViews>
  <sheetFormatPr defaultColWidth="9.140625" defaultRowHeight="12.75"/>
  <cols>
    <col min="1" max="1" width="19.8515625" style="1" customWidth="1"/>
    <col min="2" max="2" width="6.8515625" style="1" customWidth="1"/>
    <col min="3" max="3" width="7.28125" style="1" customWidth="1"/>
    <col min="4" max="4" width="7.7109375" style="1" customWidth="1"/>
    <col min="5" max="5" width="6.140625" style="1" customWidth="1"/>
    <col min="6" max="6" width="6.00390625" style="1" customWidth="1"/>
    <col min="7" max="7" width="5.140625" style="1" customWidth="1"/>
    <col min="8" max="8" width="6.00390625" style="1" customWidth="1"/>
    <col min="9" max="9" width="5.7109375" style="1" customWidth="1"/>
    <col min="10" max="10" width="6.140625" style="1" customWidth="1"/>
    <col min="11" max="11" width="7.8515625" style="1" customWidth="1"/>
    <col min="12" max="12" width="6.57421875" style="1" customWidth="1"/>
    <col min="13" max="13" width="1.421875" style="1" customWidth="1"/>
    <col min="14" max="14" width="5.421875" style="23" hidden="1" customWidth="1"/>
    <col min="15" max="15" width="5.57421875" style="1" hidden="1" customWidth="1"/>
    <col min="16" max="16" width="6.7109375" style="88" hidden="1" customWidth="1"/>
    <col min="17" max="17" width="6.8515625" style="88" hidden="1" customWidth="1"/>
    <col min="18" max="18" width="8.00390625" style="88" hidden="1" customWidth="1"/>
    <col min="19" max="19" width="2.00390625" style="88" hidden="1" customWidth="1"/>
    <col min="20" max="20" width="2.8515625" style="88" hidden="1" customWidth="1"/>
    <col min="21" max="21" width="4.00390625" style="88" hidden="1" customWidth="1"/>
    <col min="22" max="23" width="2.8515625" style="88" hidden="1" customWidth="1"/>
    <col min="24" max="24" width="3.421875" style="88" hidden="1" customWidth="1"/>
    <col min="25" max="25" width="1.421875" style="88" hidden="1" customWidth="1"/>
    <col min="26" max="26" width="9.28125" style="443" hidden="1" customWidth="1"/>
    <col min="27" max="27" width="2.00390625" style="23" hidden="1" customWidth="1"/>
    <col min="28" max="28" width="30.7109375" style="1" customWidth="1"/>
    <col min="29" max="29" width="30.28125" style="1" customWidth="1"/>
    <col min="30" max="30" width="1.8515625" style="1" customWidth="1"/>
    <col min="31" max="31" width="2.421875" style="363" customWidth="1"/>
    <col min="32" max="32" width="3.421875" style="363" customWidth="1"/>
    <col min="33" max="33" width="3.28125" style="363" customWidth="1"/>
    <col min="34" max="34" width="3.57421875" style="363" customWidth="1"/>
    <col min="35" max="35" width="3.28125" style="419" customWidth="1"/>
    <col min="36" max="36" width="1.7109375" style="416" customWidth="1"/>
    <col min="37" max="37" width="7.8515625" style="416" customWidth="1"/>
    <col min="38" max="41" width="3.28125" style="416" customWidth="1"/>
    <col min="42" max="42" width="4.28125" style="416" customWidth="1"/>
    <col min="43" max="43" width="4.28125" style="88" customWidth="1"/>
    <col min="44" max="45" width="4.28125" style="417" customWidth="1"/>
    <col min="47" max="47" width="9.140625" style="1" customWidth="1"/>
    <col min="48" max="48" width="18.421875" style="1" customWidth="1"/>
    <col min="49" max="53" width="9.140625" style="1" customWidth="1"/>
    <col min="54" max="54" width="15.28125" style="1" customWidth="1"/>
    <col min="55" max="16384" width="9.140625" style="1" customWidth="1"/>
  </cols>
  <sheetData>
    <row r="1" spans="1:58" ht="13.5" customHeight="1" thickTop="1">
      <c r="A1" s="518" t="s">
        <v>700</v>
      </c>
      <c r="B1" s="518"/>
      <c r="C1" s="3" t="s">
        <v>0</v>
      </c>
      <c r="F1" s="4" t="s">
        <v>581</v>
      </c>
      <c r="G1" s="263">
        <v>5.5</v>
      </c>
      <c r="H1" s="264">
        <f>IF(mashfactor&gt;4.5,0,(5-mashfactor)/2.2)</f>
        <v>0</v>
      </c>
      <c r="J1" s="6" t="s">
        <v>592</v>
      </c>
      <c r="K1" s="525">
        <v>42314</v>
      </c>
      <c r="L1" s="526"/>
      <c r="M1" s="23"/>
      <c r="S1" s="467"/>
      <c r="T1" s="457" t="s">
        <v>661</v>
      </c>
      <c r="U1" s="458" t="s">
        <v>667</v>
      </c>
      <c r="V1" s="459" t="s">
        <v>668</v>
      </c>
      <c r="W1" s="460" t="s">
        <v>669</v>
      </c>
      <c r="X1" s="461" t="s">
        <v>670</v>
      </c>
      <c r="Y1" s="427"/>
      <c r="Z1" s="451" t="s">
        <v>661</v>
      </c>
      <c r="AA1" s="424"/>
      <c r="AB1" s="7" t="s">
        <v>1</v>
      </c>
      <c r="AC1" s="8" t="str">
        <f>HoofdGist</f>
        <v>Fermentis US-05 korrel</v>
      </c>
      <c r="AD1" s="9"/>
      <c r="AR1" s="423"/>
      <c r="AS1" s="423"/>
      <c r="AT1" s="2"/>
      <c r="AU1" s="12"/>
      <c r="AV1" s="12"/>
      <c r="AW1" s="12"/>
      <c r="AX1" s="12"/>
      <c r="AY1" s="12"/>
      <c r="AZ1" s="12"/>
      <c r="BA1" s="12"/>
      <c r="BB1" s="12"/>
      <c r="BC1" s="12"/>
      <c r="BD1" s="12"/>
      <c r="BE1" s="12"/>
      <c r="BF1" s="12"/>
    </row>
    <row r="2" spans="1:58" ht="12.75" customHeight="1" thickBot="1">
      <c r="A2" s="518" t="s">
        <v>705</v>
      </c>
      <c r="B2" s="518"/>
      <c r="C2" s="3" t="s">
        <v>3</v>
      </c>
      <c r="D2" s="13"/>
      <c r="F2" s="14" t="s">
        <v>4</v>
      </c>
      <c r="G2" s="15">
        <v>0.8</v>
      </c>
      <c r="I2" s="268"/>
      <c r="J2" s="6" t="s">
        <v>593</v>
      </c>
      <c r="K2" s="525">
        <v>42322</v>
      </c>
      <c r="L2" s="526"/>
      <c r="M2" s="23"/>
      <c r="N2" s="277"/>
      <c r="O2" s="245"/>
      <c r="P2" s="374"/>
      <c r="Q2" s="374"/>
      <c r="R2" s="374"/>
      <c r="S2" s="374"/>
      <c r="T2" s="462">
        <v>0</v>
      </c>
      <c r="U2" s="463">
        <v>255</v>
      </c>
      <c r="V2" s="464">
        <v>255</v>
      </c>
      <c r="W2" s="465">
        <v>255</v>
      </c>
      <c r="X2" s="466">
        <v>0</v>
      </c>
      <c r="Y2" s="428"/>
      <c r="Z2" s="452">
        <f>$F$26</f>
        <v>12.952267102965287</v>
      </c>
      <c r="AA2" s="424"/>
      <c r="AB2" s="515" t="str">
        <f>G3</f>
        <v>Universeel, krachtig, bier verbleekt.</v>
      </c>
      <c r="AC2" s="515"/>
      <c r="AR2" s="423"/>
      <c r="AS2" s="423"/>
      <c r="AT2" s="2"/>
      <c r="AU2" s="12"/>
      <c r="AV2" s="12"/>
      <c r="AW2" s="12"/>
      <c r="AX2" s="12"/>
      <c r="AY2" s="12"/>
      <c r="AZ2" s="12"/>
      <c r="BA2" s="12"/>
      <c r="BB2" s="12"/>
      <c r="BC2" s="12"/>
      <c r="BD2" s="12"/>
      <c r="BE2" s="12"/>
      <c r="BF2" s="12"/>
    </row>
    <row r="3" spans="1:58" ht="12" customHeight="1" thickBot="1" thickTop="1">
      <c r="A3" s="6" t="s">
        <v>5</v>
      </c>
      <c r="B3" s="16">
        <v>15</v>
      </c>
      <c r="C3" s="17" t="s">
        <v>6</v>
      </c>
      <c r="D3" s="527" t="s">
        <v>235</v>
      </c>
      <c r="E3" s="527"/>
      <c r="F3" s="527"/>
      <c r="G3" s="534" t="str">
        <f>VLOOKUP(HoofdGist,'Info-Tabellen'!$X:$AB,5,0)</f>
        <v>Universeel, krachtig, bier verbleekt.</v>
      </c>
      <c r="H3" s="535"/>
      <c r="I3" s="535"/>
      <c r="J3" s="535"/>
      <c r="K3" s="535"/>
      <c r="L3" s="535"/>
      <c r="M3" s="393"/>
      <c r="O3" s="245"/>
      <c r="P3" s="374"/>
      <c r="Q3" s="374"/>
      <c r="R3" s="374"/>
      <c r="S3" s="374"/>
      <c r="T3" s="462">
        <v>1</v>
      </c>
      <c r="U3" s="463">
        <v>247</v>
      </c>
      <c r="V3" s="464">
        <v>249</v>
      </c>
      <c r="W3" s="465">
        <v>180</v>
      </c>
      <c r="X3" s="466">
        <v>45</v>
      </c>
      <c r="Y3" s="428"/>
      <c r="Z3" s="442"/>
      <c r="AA3" s="424"/>
      <c r="AC3" s="2"/>
      <c r="AD3" s="2"/>
      <c r="AR3" s="423"/>
      <c r="AS3" s="423"/>
      <c r="AT3" s="2"/>
      <c r="AU3" s="12"/>
      <c r="AV3" s="12"/>
      <c r="AW3" s="12"/>
      <c r="AX3" s="12"/>
      <c r="AY3" s="12"/>
      <c r="AZ3" s="12"/>
      <c r="BA3" s="12"/>
      <c r="BB3" s="12"/>
      <c r="BC3" s="12"/>
      <c r="BD3" s="12"/>
      <c r="BE3" s="12"/>
      <c r="BF3" s="12"/>
    </row>
    <row r="4" spans="1:58" ht="12.75" customHeight="1" thickTop="1">
      <c r="A4" s="267" t="s">
        <v>584</v>
      </c>
      <c r="B4" s="351">
        <v>1</v>
      </c>
      <c r="E4" s="22"/>
      <c r="F4" s="74" t="s">
        <v>583</v>
      </c>
      <c r="G4" s="24">
        <v>99.5</v>
      </c>
      <c r="J4" s="166" t="s">
        <v>612</v>
      </c>
      <c r="K4" s="266">
        <v>90</v>
      </c>
      <c r="L4" s="357">
        <f>IF(Aardbier="D",-0.5,IF(Aardbier="M",-0.3,IF(Aardbier=1,-0.8,2.5)))</f>
        <v>-0.5</v>
      </c>
      <c r="M4" s="23"/>
      <c r="N4" s="207"/>
      <c r="P4" s="481"/>
      <c r="Q4" s="481"/>
      <c r="R4" s="88">
        <f>0.0000152482628*voorsp_eindplato*voorsp_eindplato+0.0038422807854*voorsp_eindplato+1.0000602058824</f>
        <v>1.0077782005071736</v>
      </c>
      <c r="T4" s="462">
        <v>2</v>
      </c>
      <c r="U4" s="463">
        <v>245</v>
      </c>
      <c r="V4" s="464">
        <v>248</v>
      </c>
      <c r="W4" s="465">
        <v>146</v>
      </c>
      <c r="X4" s="466">
        <v>61</v>
      </c>
      <c r="Y4" s="428"/>
      <c r="Z4" s="448" t="s">
        <v>667</v>
      </c>
      <c r="AA4" s="424"/>
      <c r="AB4" s="7" t="s">
        <v>8</v>
      </c>
      <c r="AC4" s="8" t="str">
        <f>K52</f>
        <v>geen</v>
      </c>
      <c r="AD4" s="2"/>
      <c r="AR4" s="423"/>
      <c r="AS4" s="423"/>
      <c r="AT4" s="2"/>
      <c r="AU4" s="12"/>
      <c r="AV4" s="12"/>
      <c r="AW4" s="12"/>
      <c r="AX4" s="12"/>
      <c r="AY4" s="12"/>
      <c r="AZ4" s="12"/>
      <c r="BA4" s="12"/>
      <c r="BB4" s="12"/>
      <c r="BC4" s="12"/>
      <c r="BD4" s="12"/>
      <c r="BE4" s="12"/>
      <c r="BF4" s="12"/>
    </row>
    <row r="5" spans="1:58" ht="12" customHeight="1" thickBot="1">
      <c r="A5" s="265" t="s">
        <v>582</v>
      </c>
      <c r="B5" s="25" t="s">
        <v>702</v>
      </c>
      <c r="C5" s="19"/>
      <c r="D5" s="74" t="s">
        <v>585</v>
      </c>
      <c r="E5" s="303" t="s">
        <v>17</v>
      </c>
      <c r="F5" s="22"/>
      <c r="G5" s="19" t="s">
        <v>586</v>
      </c>
      <c r="H5" s="20">
        <v>13.4</v>
      </c>
      <c r="I5" s="354">
        <f>VLOOKUP(HoofdGist,'Info-Tabellen'!$X:$AB,2,0)</f>
        <v>81</v>
      </c>
      <c r="J5" s="355">
        <f>SUM($D$8:$D$18)</f>
        <v>3.1</v>
      </c>
      <c r="K5" s="279">
        <f>IF(Eiwitrust="J",10,0)</f>
        <v>0</v>
      </c>
      <c r="L5" s="356">
        <f>(totplato-VSPrestextract)/(2.0665-0.010665*(totplato))</f>
        <v>3.622199161911614</v>
      </c>
      <c r="M5" s="23"/>
      <c r="R5" s="482" t="s">
        <v>688</v>
      </c>
      <c r="T5" s="462">
        <v>3</v>
      </c>
      <c r="U5" s="463">
        <v>248</v>
      </c>
      <c r="V5" s="464">
        <v>249</v>
      </c>
      <c r="W5" s="465">
        <v>114</v>
      </c>
      <c r="X5" s="466">
        <v>75</v>
      </c>
      <c r="Y5" s="428"/>
      <c r="Z5" s="453">
        <f>LOOKUP($Z$2,$T$2:$T$47,U2:U47)</f>
        <v>212</v>
      </c>
      <c r="AA5" s="424"/>
      <c r="AB5" s="515" t="e">
        <f>VLOOKUP(bottelgist,'Info-Tabellen'!$X:$AB,5,0)</f>
        <v>#N/A</v>
      </c>
      <c r="AC5" s="515"/>
      <c r="AD5" s="2"/>
      <c r="AR5" s="423"/>
      <c r="AS5" s="423"/>
      <c r="AT5" s="2"/>
      <c r="AU5" s="12"/>
      <c r="AV5" s="12"/>
      <c r="AW5" s="12"/>
      <c r="AX5" s="12"/>
      <c r="AY5" s="12"/>
      <c r="AZ5" s="12"/>
      <c r="BA5" s="12"/>
      <c r="BB5" s="12"/>
      <c r="BC5" s="12"/>
      <c r="BD5" s="12"/>
      <c r="BE5" s="12"/>
      <c r="BF5" s="12"/>
    </row>
    <row r="6" spans="1:58" ht="12" customHeight="1" thickBot="1" thickTop="1">
      <c r="A6" s="73" t="s">
        <v>589</v>
      </c>
      <c r="B6" s="269">
        <v>17</v>
      </c>
      <c r="C6" s="259"/>
      <c r="D6" s="21"/>
      <c r="E6" s="22"/>
      <c r="F6" s="352" t="s">
        <v>646</v>
      </c>
      <c r="G6" s="353">
        <f>IF(mashfactor&lt;3.66,$G$2-((mashfactor)/1000)+0.00666,$G$2-((mashfactor)/20)+0.175)</f>
        <v>0.7</v>
      </c>
      <c r="H6" s="392"/>
      <c r="I6" s="268">
        <f>IF(moutkilos=0,"",IF(Aardbier=1,moutkilos*1.6*($B$30-mouttemp)/(mashwater*4.18),moutkilos*1.6*($B$29-mouttemp)/(mashwater*4.18)))</f>
        <v>3.070388660031216</v>
      </c>
      <c r="K6" s="300" t="s">
        <v>613</v>
      </c>
      <c r="L6" s="260"/>
      <c r="M6" s="261"/>
      <c r="N6" s="72"/>
      <c r="O6" s="276">
        <f>VLOOKUP(HoofdGist,'Info-Tabellen'!$X:$AB,3,0)</f>
        <v>107</v>
      </c>
      <c r="P6" s="388" t="s">
        <v>662</v>
      </c>
      <c r="R6" s="207" t="s">
        <v>687</v>
      </c>
      <c r="T6" s="462">
        <v>4</v>
      </c>
      <c r="U6" s="463">
        <v>248</v>
      </c>
      <c r="V6" s="464">
        <v>247</v>
      </c>
      <c r="W6" s="465">
        <v>83</v>
      </c>
      <c r="X6" s="466">
        <v>90</v>
      </c>
      <c r="Y6" s="428"/>
      <c r="Z6" s="441"/>
      <c r="AA6" s="424"/>
      <c r="AB6" s="270"/>
      <c r="AC6" s="271"/>
      <c r="AD6" s="2"/>
      <c r="AR6" s="423"/>
      <c r="AS6" s="423"/>
      <c r="AT6" s="418"/>
      <c r="AU6" s="12"/>
      <c r="AV6" s="12"/>
      <c r="AW6" s="12"/>
      <c r="AX6" s="12"/>
      <c r="AY6" s="12"/>
      <c r="AZ6" s="12"/>
      <c r="BA6" s="12"/>
      <c r="BB6" s="12"/>
      <c r="BC6" s="12"/>
      <c r="BD6" s="12"/>
      <c r="BE6" s="12"/>
      <c r="BF6" s="12"/>
    </row>
    <row r="7" spans="1:58" ht="16.5" customHeight="1" thickTop="1">
      <c r="A7" s="26" t="s">
        <v>9</v>
      </c>
      <c r="B7" s="27" t="s">
        <v>10</v>
      </c>
      <c r="C7" s="27" t="s">
        <v>11</v>
      </c>
      <c r="D7" s="28" t="s">
        <v>12</v>
      </c>
      <c r="E7" s="29" t="s">
        <v>13</v>
      </c>
      <c r="F7" s="27" t="s">
        <v>661</v>
      </c>
      <c r="G7" s="27" t="s">
        <v>14</v>
      </c>
      <c r="H7" s="27" t="s">
        <v>15</v>
      </c>
      <c r="I7" s="286" t="s">
        <v>588</v>
      </c>
      <c r="J7" s="48">
        <f>SUM($E$8:$E$18)</f>
        <v>10.629008354033928</v>
      </c>
      <c r="K7" s="47">
        <f>IF(ISNUMBER($J$7),(0.0000152482628*J7*J7+0.0038422807854*J7+1.0000602058824)*1000,"")</f>
        <v>1042.6225254208678</v>
      </c>
      <c r="L7" s="302">
        <f>IF(ISNUMBER($J$7),0.0000005*R7*R7*R7-0.00042273*R7*R7+0.28198838*R7-3.97853928,"")</f>
        <v>10.921735141261852</v>
      </c>
      <c r="M7" s="277"/>
      <c r="N7" s="405" t="s">
        <v>594</v>
      </c>
      <c r="O7" s="410" t="s">
        <v>611</v>
      </c>
      <c r="P7" s="88" t="s">
        <v>657</v>
      </c>
      <c r="Q7" s="88" t="s">
        <v>661</v>
      </c>
      <c r="R7" s="480">
        <f>0.0010941210237*J7*J7*J7-0.0084685862875*J7*J7+4.0095424008421*J7+14.4773574022522</f>
        <v>57.451915022355934</v>
      </c>
      <c r="T7" s="462">
        <v>5</v>
      </c>
      <c r="U7" s="463">
        <v>245</v>
      </c>
      <c r="V7" s="464">
        <v>248</v>
      </c>
      <c r="W7" s="465">
        <v>48</v>
      </c>
      <c r="X7" s="466">
        <v>121</v>
      </c>
      <c r="Y7" s="428"/>
      <c r="Z7" s="449" t="s">
        <v>668</v>
      </c>
      <c r="AA7" s="424"/>
      <c r="AD7" s="2"/>
      <c r="AR7" s="423"/>
      <c r="AS7" s="423"/>
      <c r="AT7" s="2"/>
      <c r="AU7" s="12"/>
      <c r="AV7" s="12"/>
      <c r="AW7" s="12"/>
      <c r="AX7" s="12"/>
      <c r="AY7" s="12"/>
      <c r="AZ7" s="12"/>
      <c r="BA7" s="12"/>
      <c r="BB7" s="12"/>
      <c r="BC7" s="12"/>
      <c r="BD7" s="12"/>
      <c r="BE7" s="12"/>
      <c r="BF7" s="12"/>
    </row>
    <row r="8" spans="1:58" ht="12" customHeight="1" thickBot="1">
      <c r="A8" s="30" t="s">
        <v>111</v>
      </c>
      <c r="B8" s="366">
        <f>VLOOKUP(A8,'Info-Tabellen'!$H:$K,2,0)</f>
        <v>80.07</v>
      </c>
      <c r="C8" s="366">
        <f>VLOOKUP(A8,'Info-Tabellen'!$H:$J,3,0)</f>
        <v>3</v>
      </c>
      <c r="D8" s="31">
        <f>3.1/2</f>
        <v>1.55</v>
      </c>
      <c r="E8" s="32">
        <f>IF(Gewenste_liters=0,"0",IF(D8=0,"  ",(B8*D8/(Gewenste_liters+hopverlies))*effic))</f>
        <v>5.314504177016964</v>
      </c>
      <c r="F8" s="33">
        <f aca="true" t="shared" si="0" ref="F8:F18">IF(Gewenste_liters=0,"0",IF(D8=0,"  ",1.8*(Q8)^0.69))</f>
        <v>2.7558243862564127</v>
      </c>
      <c r="G8" s="272">
        <f aca="true" t="shared" si="1" ref="G8:G16">IF(D8="","  ",(D8*100/Totaalkg))</f>
        <v>50</v>
      </c>
      <c r="H8" s="273">
        <f aca="true" t="shared" si="2" ref="H8:H16">IF(E8="  ","  ",(E8*100/totplato))</f>
        <v>50</v>
      </c>
      <c r="I8" s="294">
        <f aca="true" t="shared" si="3" ref="I8:I23">IF(O8=0,"",E8-(E8*O8/100))</f>
        <v>0.9831832727481382</v>
      </c>
      <c r="J8" s="519" t="s">
        <v>614</v>
      </c>
      <c r="K8" s="520"/>
      <c r="L8" s="520"/>
      <c r="M8" s="23"/>
      <c r="N8" s="406">
        <f>IF(D8=0,0,VLOOKUP(A8,'Info-Tabellen'!$H:$K,4,0))</f>
        <v>100</v>
      </c>
      <c r="O8" s="411">
        <f>IF(N8=0,0,(SVGopmout*N8/100)-ATNfactor-Aftrokmaische)</f>
        <v>81.5</v>
      </c>
      <c r="P8" s="375">
        <f>IF(C8=0,0,C8*0.3748+0.6)</f>
        <v>1.7244000000000002</v>
      </c>
      <c r="Q8" s="375">
        <f>C8*E8/8.6</f>
        <v>1.8538968059361502</v>
      </c>
      <c r="S8" s="480"/>
      <c r="T8" s="462">
        <v>6</v>
      </c>
      <c r="U8" s="463">
        <v>245</v>
      </c>
      <c r="V8" s="464">
        <v>244</v>
      </c>
      <c r="W8" s="465">
        <v>18</v>
      </c>
      <c r="X8" s="466">
        <v>137</v>
      </c>
      <c r="Y8" s="428"/>
      <c r="Z8" s="454">
        <f>LOOKUP($Z$2,$T$2:$T$47,V2:V47)</f>
        <v>184</v>
      </c>
      <c r="AA8" s="424"/>
      <c r="AB8" s="2"/>
      <c r="AC8" s="2"/>
      <c r="AD8" s="2"/>
      <c r="AR8" s="423"/>
      <c r="AS8" s="423"/>
      <c r="AT8" s="2"/>
      <c r="AU8" s="12"/>
      <c r="AV8" s="12"/>
      <c r="AW8" s="12"/>
      <c r="AX8" s="12"/>
      <c r="AY8" s="12"/>
      <c r="AZ8" s="12"/>
      <c r="BA8" s="12"/>
      <c r="BB8" s="12"/>
      <c r="BC8" s="12"/>
      <c r="BD8" s="12"/>
      <c r="BE8" s="12"/>
      <c r="BF8" s="12"/>
    </row>
    <row r="9" spans="1:58" ht="12" customHeight="1" thickBot="1" thickTop="1">
      <c r="A9" s="35" t="s">
        <v>155</v>
      </c>
      <c r="B9" s="367">
        <f>VLOOKUP(A9,'Info-Tabellen'!$H:$J,2,0)</f>
        <v>80.07</v>
      </c>
      <c r="C9" s="367">
        <f>VLOOKUP(A9,'Info-Tabellen'!$H:$J,3,0)</f>
        <v>15</v>
      </c>
      <c r="D9" s="36">
        <f>3.1/2</f>
        <v>1.55</v>
      </c>
      <c r="E9" s="37">
        <f aca="true" t="shared" si="4" ref="E9:E18">IF(Gewenste_liters=0,"0",IF(D9=0,"  ",(B9*D9/(Gewenste_liters+hopverlies))*effic))</f>
        <v>5.314504177016964</v>
      </c>
      <c r="F9" s="38">
        <f t="shared" si="0"/>
        <v>8.366442716708875</v>
      </c>
      <c r="G9" s="274">
        <f t="shared" si="1"/>
        <v>50</v>
      </c>
      <c r="H9" s="63">
        <f t="shared" si="2"/>
        <v>50</v>
      </c>
      <c r="I9" s="295">
        <f t="shared" si="3"/>
        <v>1.0097557936332233</v>
      </c>
      <c r="J9" s="521"/>
      <c r="K9" s="522"/>
      <c r="L9" s="522"/>
      <c r="M9" s="301"/>
      <c r="N9" s="407">
        <f>IF(D9=0,0,VLOOKUP(A9,'Info-Tabellen'!$H:$K,4,0))</f>
        <v>100</v>
      </c>
      <c r="O9" s="412">
        <f aca="true" t="shared" si="5" ref="O9:O18">IF(N9=0,0,(SVGopmout*N9/100)-ATNfactor)</f>
        <v>81</v>
      </c>
      <c r="P9" s="375">
        <f aca="true" t="shared" si="6" ref="P9:P24">IF(C9=0,0,C9*0.3748+0.6)</f>
        <v>6.2219999999999995</v>
      </c>
      <c r="Q9" s="375">
        <f aca="true" t="shared" si="7" ref="Q9:Q18">C9*E9/8.6</f>
        <v>9.26948402968075</v>
      </c>
      <c r="R9" s="375"/>
      <c r="S9" s="375"/>
      <c r="T9" s="462">
        <v>7</v>
      </c>
      <c r="U9" s="463">
        <v>238</v>
      </c>
      <c r="V9" s="464">
        <v>233</v>
      </c>
      <c r="W9" s="465">
        <v>22</v>
      </c>
      <c r="X9" s="466">
        <v>135</v>
      </c>
      <c r="Y9" s="428"/>
      <c r="Z9" s="441"/>
      <c r="AA9" s="424"/>
      <c r="AB9" s="39" t="s">
        <v>18</v>
      </c>
      <c r="AC9" s="40"/>
      <c r="AD9" s="2"/>
      <c r="AR9" s="423"/>
      <c r="AS9" s="423"/>
      <c r="AT9" s="2"/>
      <c r="AU9" s="12"/>
      <c r="AV9" s="12"/>
      <c r="AW9" s="12"/>
      <c r="AX9" s="12"/>
      <c r="AY9" s="12"/>
      <c r="AZ9" s="12"/>
      <c r="BA9" s="12"/>
      <c r="BB9" s="12"/>
      <c r="BC9" s="12"/>
      <c r="BD9" s="12"/>
      <c r="BE9" s="12"/>
      <c r="BF9" s="12"/>
    </row>
    <row r="10" spans="1:58" ht="12" customHeight="1" thickTop="1">
      <c r="A10" s="30" t="s">
        <v>16</v>
      </c>
      <c r="B10" s="366">
        <f>VLOOKUP(A10,'Info-Tabellen'!$H:$J,2,0)</f>
        <v>0</v>
      </c>
      <c r="C10" s="366">
        <f>VLOOKUP(A10,'Info-Tabellen'!$H:$J,3,0)</f>
        <v>0</v>
      </c>
      <c r="D10" s="41"/>
      <c r="E10" s="32" t="str">
        <f t="shared" si="4"/>
        <v>  </v>
      </c>
      <c r="F10" s="33" t="str">
        <f t="shared" si="0"/>
        <v>  </v>
      </c>
      <c r="G10" s="272" t="str">
        <f t="shared" si="1"/>
        <v>  </v>
      </c>
      <c r="H10" s="273" t="str">
        <f t="shared" si="2"/>
        <v>  </v>
      </c>
      <c r="I10" s="294">
        <f t="shared" si="3"/>
      </c>
      <c r="J10" s="48">
        <f>SUM($E$19:$E$22)</f>
        <v>0</v>
      </c>
      <c r="K10" s="47">
        <f>IF(ISNUMBER($J$7),(0.0000152482628*J10*J10+0.0038422807854*J10+1.0000602058824)*1000,"")</f>
        <v>1000.0602058823999</v>
      </c>
      <c r="L10" s="49">
        <f>IF(ISNUMBER($J$10),$J$10,"")</f>
        <v>0</v>
      </c>
      <c r="M10" s="301"/>
      <c r="N10" s="406">
        <f>IF(D10=0,0,VLOOKUP(A10,'Info-Tabellen'!$H:$K,4,0))</f>
        <v>0</v>
      </c>
      <c r="O10" s="411">
        <f t="shared" si="5"/>
        <v>0</v>
      </c>
      <c r="P10" s="375">
        <f t="shared" si="6"/>
        <v>0</v>
      </c>
      <c r="Q10" s="375" t="e">
        <f t="shared" si="7"/>
        <v>#VALUE!</v>
      </c>
      <c r="R10" s="375"/>
      <c r="S10" s="375"/>
      <c r="T10" s="462">
        <v>8</v>
      </c>
      <c r="U10" s="463">
        <v>230</v>
      </c>
      <c r="V10" s="464">
        <v>225</v>
      </c>
      <c r="W10" s="465">
        <v>24</v>
      </c>
      <c r="X10" s="466">
        <v>160</v>
      </c>
      <c r="Y10" s="428"/>
      <c r="Z10" s="450" t="s">
        <v>669</v>
      </c>
      <c r="AA10" s="424"/>
      <c r="AB10" s="42" t="str">
        <f>hop1</f>
        <v>Willamette (A)</v>
      </c>
      <c r="AC10" s="40"/>
      <c r="AD10" s="2"/>
      <c r="AR10" s="423"/>
      <c r="AS10" s="423"/>
      <c r="AT10" s="2"/>
      <c r="AU10" s="12"/>
      <c r="AV10" s="12"/>
      <c r="AW10" s="12"/>
      <c r="AX10" s="12"/>
      <c r="AY10" s="12"/>
      <c r="AZ10" s="12"/>
      <c r="BA10" s="12"/>
      <c r="BB10" s="12"/>
      <c r="BC10" s="12"/>
      <c r="BD10" s="12"/>
      <c r="BE10" s="12"/>
      <c r="BF10" s="12"/>
    </row>
    <row r="11" spans="1:58" ht="12" customHeight="1" thickBot="1">
      <c r="A11" s="35" t="s">
        <v>16</v>
      </c>
      <c r="B11" s="367">
        <f>VLOOKUP(A11,'Info-Tabellen'!$H:$J,2,0)</f>
        <v>0</v>
      </c>
      <c r="C11" s="367">
        <f>VLOOKUP(A11,'Info-Tabellen'!$H:$J,3,0)</f>
        <v>0</v>
      </c>
      <c r="D11" s="43"/>
      <c r="E11" s="37" t="str">
        <f t="shared" si="4"/>
        <v>  </v>
      </c>
      <c r="F11" s="44" t="str">
        <f t="shared" si="0"/>
        <v>  </v>
      </c>
      <c r="G11" s="275" t="str">
        <f t="shared" si="1"/>
        <v>  </v>
      </c>
      <c r="H11" s="63" t="str">
        <f t="shared" si="2"/>
        <v>  </v>
      </c>
      <c r="I11" s="295">
        <f t="shared" si="3"/>
      </c>
      <c r="K11" s="45" t="s">
        <v>19</v>
      </c>
      <c r="M11" s="23"/>
      <c r="N11" s="407">
        <f>IF(D11=0,0,VLOOKUP(A11,'Info-Tabellen'!$H:$K,4,0))</f>
        <v>0</v>
      </c>
      <c r="O11" s="412">
        <f t="shared" si="5"/>
        <v>0</v>
      </c>
      <c r="P11" s="375">
        <f t="shared" si="6"/>
        <v>0</v>
      </c>
      <c r="Q11" s="375" t="e">
        <f t="shared" si="7"/>
        <v>#VALUE!</v>
      </c>
      <c r="R11" s="375"/>
      <c r="S11" s="375"/>
      <c r="T11" s="462">
        <v>9</v>
      </c>
      <c r="U11" s="463">
        <v>229</v>
      </c>
      <c r="V11" s="464">
        <v>214</v>
      </c>
      <c r="W11" s="465">
        <v>30</v>
      </c>
      <c r="X11" s="466">
        <v>163</v>
      </c>
      <c r="Y11" s="428"/>
      <c r="Z11" s="455">
        <f>LOOKUP($Z$2,$T$2:$T$47,W2:W47)</f>
        <v>39</v>
      </c>
      <c r="AA11" s="424"/>
      <c r="AB11" s="516" t="str">
        <f>VLOOKUP(hop1,'Info-Tabellen'!$R:$V,3,0)</f>
        <v>Mild en aangenaam, iets pikant, fruitig, bloemig, iets gronderig.</v>
      </c>
      <c r="AC11" s="516"/>
      <c r="AD11" s="2"/>
      <c r="AR11" s="423"/>
      <c r="AS11" s="423"/>
      <c r="AT11" s="2"/>
      <c r="AU11" s="12"/>
      <c r="AV11" s="12"/>
      <c r="AW11" s="12"/>
      <c r="AX11" s="12"/>
      <c r="AY11" s="12"/>
      <c r="AZ11" s="12"/>
      <c r="BA11" s="12"/>
      <c r="BB11" s="12"/>
      <c r="BC11" s="12"/>
      <c r="BD11" s="12"/>
      <c r="BE11" s="12"/>
      <c r="BF11" s="12"/>
    </row>
    <row r="12" spans="1:58" ht="12" customHeight="1" thickBot="1" thickTop="1">
      <c r="A12" s="30" t="s">
        <v>16</v>
      </c>
      <c r="B12" s="366">
        <f>VLOOKUP(A12,'Info-Tabellen'!$H:$J,2,0)</f>
        <v>0</v>
      </c>
      <c r="C12" s="366">
        <f>VLOOKUP(A12,'Info-Tabellen'!$H:$J,3,0)</f>
        <v>0</v>
      </c>
      <c r="D12" s="41"/>
      <c r="E12" s="32" t="str">
        <f t="shared" si="4"/>
        <v>  </v>
      </c>
      <c r="F12" s="33" t="str">
        <f t="shared" si="0"/>
        <v>  </v>
      </c>
      <c r="G12" s="272" t="str">
        <f t="shared" si="1"/>
        <v>  </v>
      </c>
      <c r="H12" s="273" t="str">
        <f t="shared" si="2"/>
        <v>  </v>
      </c>
      <c r="I12" s="294">
        <f t="shared" si="3"/>
      </c>
      <c r="J12" s="48">
        <f>IF(ISNUMBER(totplato),totplato,"")</f>
        <v>10.629008354033928</v>
      </c>
      <c r="K12" s="47">
        <f>IF(ISNUMBER($J$7),(0.0000152482628*J12*J12+0.0038422807854*J12+1.0000602058824)*1000,"")</f>
        <v>1042.6225254208678</v>
      </c>
      <c r="L12" s="49">
        <f>IF(ISNUMBER($J$12),$L$7+$L$10,"")</f>
        <v>10.921735141261852</v>
      </c>
      <c r="M12" s="23"/>
      <c r="N12" s="406">
        <f>IF(D12=0,0,VLOOKUP(A12,'Info-Tabellen'!$H:$K,4,0))</f>
        <v>0</v>
      </c>
      <c r="O12" s="411">
        <f t="shared" si="5"/>
        <v>0</v>
      </c>
      <c r="P12" s="375">
        <f t="shared" si="6"/>
        <v>0</v>
      </c>
      <c r="Q12" s="375" t="e">
        <f t="shared" si="7"/>
        <v>#VALUE!</v>
      </c>
      <c r="R12" s="480"/>
      <c r="S12" s="375"/>
      <c r="T12" s="462">
        <v>10</v>
      </c>
      <c r="U12" s="463">
        <v>224</v>
      </c>
      <c r="V12" s="464">
        <v>204</v>
      </c>
      <c r="W12" s="465">
        <v>32</v>
      </c>
      <c r="X12" s="466">
        <v>165</v>
      </c>
      <c r="Y12" s="428"/>
      <c r="Z12" s="441"/>
      <c r="AA12" s="424"/>
      <c r="AB12" s="516"/>
      <c r="AC12" s="516"/>
      <c r="AD12" s="2"/>
      <c r="AR12" s="423"/>
      <c r="AS12" s="423"/>
      <c r="AT12" s="2"/>
      <c r="AU12" s="12"/>
      <c r="AV12" s="12"/>
      <c r="AW12" s="12"/>
      <c r="AX12" s="12"/>
      <c r="AY12" s="12"/>
      <c r="AZ12" s="12"/>
      <c r="BA12" s="12"/>
      <c r="BB12" s="12"/>
      <c r="BC12" s="12"/>
      <c r="BD12" s="12"/>
      <c r="BE12" s="12"/>
      <c r="BF12" s="12"/>
    </row>
    <row r="13" spans="1:58" ht="12" customHeight="1" thickTop="1">
      <c r="A13" s="35" t="s">
        <v>16</v>
      </c>
      <c r="B13" s="367">
        <f>VLOOKUP(A13,'Info-Tabellen'!$H:$J,2,0)</f>
        <v>0</v>
      </c>
      <c r="C13" s="367">
        <f>VLOOKUP(A13,'Info-Tabellen'!$H:$J,3,0)</f>
        <v>0</v>
      </c>
      <c r="D13" s="43"/>
      <c r="E13" s="37" t="str">
        <f t="shared" si="4"/>
        <v>  </v>
      </c>
      <c r="F13" s="44" t="str">
        <f t="shared" si="0"/>
        <v>  </v>
      </c>
      <c r="G13" s="275" t="str">
        <f t="shared" si="1"/>
        <v>  </v>
      </c>
      <c r="H13" s="63" t="str">
        <f t="shared" si="2"/>
        <v>  </v>
      </c>
      <c r="I13" s="295">
        <f t="shared" si="3"/>
      </c>
      <c r="K13" s="45" t="s">
        <v>689</v>
      </c>
      <c r="M13" s="23"/>
      <c r="N13" s="407">
        <f>IF(D13=0,0,VLOOKUP(A13,'Info-Tabellen'!$H:$K,4,0))</f>
        <v>0</v>
      </c>
      <c r="O13" s="412">
        <f t="shared" si="5"/>
        <v>0</v>
      </c>
      <c r="P13" s="375">
        <f t="shared" si="6"/>
        <v>0</v>
      </c>
      <c r="Q13" s="375" t="e">
        <f t="shared" si="7"/>
        <v>#VALUE!</v>
      </c>
      <c r="R13" s="375"/>
      <c r="S13" s="375"/>
      <c r="T13" s="462">
        <v>11</v>
      </c>
      <c r="U13" s="463">
        <v>218</v>
      </c>
      <c r="V13" s="464">
        <v>196</v>
      </c>
      <c r="W13" s="465">
        <v>41</v>
      </c>
      <c r="X13" s="466">
        <v>168</v>
      </c>
      <c r="Y13" s="428"/>
      <c r="Z13" s="456" t="s">
        <v>670</v>
      </c>
      <c r="AA13" s="424"/>
      <c r="AB13" s="46"/>
      <c r="AC13" s="40"/>
      <c r="AD13" s="2"/>
      <c r="AR13" s="423"/>
      <c r="AS13" s="423"/>
      <c r="AT13" s="2"/>
      <c r="AU13" s="12"/>
      <c r="AV13" s="12"/>
      <c r="AW13" s="12"/>
      <c r="AX13" s="12"/>
      <c r="AY13" s="12"/>
      <c r="AZ13" s="12"/>
      <c r="BA13" s="12"/>
      <c r="BB13" s="12"/>
      <c r="BC13" s="12"/>
      <c r="BD13" s="12"/>
      <c r="BE13" s="12"/>
      <c r="BF13" s="12"/>
    </row>
    <row r="14" spans="1:58" ht="12" customHeight="1" thickBot="1">
      <c r="A14" s="30" t="s">
        <v>16</v>
      </c>
      <c r="B14" s="366">
        <f>VLOOKUP(A14,'Info-Tabellen'!$H:$J,2,0)</f>
        <v>0</v>
      </c>
      <c r="C14" s="366">
        <f>VLOOKUP(A14,'Info-Tabellen'!$H:$J,3,0)</f>
        <v>0</v>
      </c>
      <c r="D14" s="41"/>
      <c r="E14" s="32" t="str">
        <f t="shared" si="4"/>
        <v>  </v>
      </c>
      <c r="F14" s="33" t="str">
        <f t="shared" si="0"/>
        <v>  </v>
      </c>
      <c r="G14" s="272" t="str">
        <f t="shared" si="1"/>
        <v>  </v>
      </c>
      <c r="H14" s="273" t="str">
        <f t="shared" si="2"/>
        <v>  </v>
      </c>
      <c r="I14" s="294">
        <f t="shared" si="3"/>
      </c>
      <c r="J14" s="48">
        <f>voorsp_eindplato</f>
        <v>1.9929390663813615</v>
      </c>
      <c r="K14" s="47">
        <f>voorsp_eindSG</f>
        <v>1007.7782005071736</v>
      </c>
      <c r="L14" s="49">
        <f>J14*1.03</f>
        <v>2.0527272383728024</v>
      </c>
      <c r="M14" s="23"/>
      <c r="N14" s="406">
        <f>IF(D14=0,0,VLOOKUP(A14,'Info-Tabellen'!$H:$K,4,0))</f>
        <v>0</v>
      </c>
      <c r="O14" s="411">
        <f t="shared" si="5"/>
        <v>0</v>
      </c>
      <c r="P14" s="375">
        <f t="shared" si="6"/>
        <v>0</v>
      </c>
      <c r="Q14" s="375" t="e">
        <f t="shared" si="7"/>
        <v>#VALUE!</v>
      </c>
      <c r="R14" s="375"/>
      <c r="S14" s="375"/>
      <c r="T14" s="462">
        <v>12</v>
      </c>
      <c r="U14" s="463">
        <v>212</v>
      </c>
      <c r="V14" s="464">
        <v>184</v>
      </c>
      <c r="W14" s="465">
        <v>39</v>
      </c>
      <c r="X14" s="466">
        <v>170</v>
      </c>
      <c r="Y14" s="428"/>
      <c r="Z14" s="447">
        <f>LOOKUP($Z$2,$T$2:$T$47,X2:X47)</f>
        <v>170</v>
      </c>
      <c r="AA14" s="424"/>
      <c r="AB14" s="42" t="str">
        <f>hop2</f>
        <v>Citra (U)</v>
      </c>
      <c r="AC14" s="40"/>
      <c r="AD14" s="2"/>
      <c r="AR14" s="423"/>
      <c r="AS14" s="423"/>
      <c r="AT14" s="2"/>
      <c r="AU14" s="12"/>
      <c r="AV14" s="12"/>
      <c r="AW14" s="12"/>
      <c r="AX14" s="12"/>
      <c r="AY14" s="12"/>
      <c r="AZ14" s="12"/>
      <c r="BA14" s="12"/>
      <c r="BB14" s="12"/>
      <c r="BC14" s="12"/>
      <c r="BD14" s="12"/>
      <c r="BE14" s="12"/>
      <c r="BF14" s="12"/>
    </row>
    <row r="15" spans="1:58" ht="12" customHeight="1" thickBot="1" thickTop="1">
      <c r="A15" s="35" t="s">
        <v>16</v>
      </c>
      <c r="B15" s="367">
        <f>VLOOKUP(A15,'Info-Tabellen'!$H:$J,2,0)</f>
        <v>0</v>
      </c>
      <c r="C15" s="367">
        <f>VLOOKUP(A15,'Info-Tabellen'!$H:$J,3,0)</f>
        <v>0</v>
      </c>
      <c r="D15" s="43"/>
      <c r="E15" s="37" t="str">
        <f t="shared" si="4"/>
        <v>  </v>
      </c>
      <c r="F15" s="44" t="str">
        <f t="shared" si="0"/>
        <v>  </v>
      </c>
      <c r="G15" s="275" t="str">
        <f t="shared" si="1"/>
        <v>  </v>
      </c>
      <c r="H15" s="63" t="str">
        <f t="shared" si="2"/>
        <v>  </v>
      </c>
      <c r="I15" s="295">
        <f t="shared" si="3"/>
      </c>
      <c r="J15" s="431">
        <f>SUM(I8:I18)</f>
        <v>1.9929390663813615</v>
      </c>
      <c r="K15" s="430" t="s">
        <v>671</v>
      </c>
      <c r="L15" s="432">
        <f>SUM(I19:I23)</f>
        <v>0</v>
      </c>
      <c r="M15" s="23"/>
      <c r="N15" s="407">
        <f>IF(D15=0,0,VLOOKUP(A15,'Info-Tabellen'!$H:$K,4,0))</f>
        <v>0</v>
      </c>
      <c r="O15" s="412">
        <f t="shared" si="5"/>
        <v>0</v>
      </c>
      <c r="P15" s="375">
        <f t="shared" si="6"/>
        <v>0</v>
      </c>
      <c r="Q15" s="375" t="e">
        <f t="shared" si="7"/>
        <v>#VALUE!</v>
      </c>
      <c r="R15" s="375"/>
      <c r="S15" s="375"/>
      <c r="T15" s="462">
        <v>13</v>
      </c>
      <c r="U15" s="463">
        <v>208</v>
      </c>
      <c r="V15" s="464">
        <v>176</v>
      </c>
      <c r="W15" s="465">
        <v>46</v>
      </c>
      <c r="X15" s="466">
        <v>173</v>
      </c>
      <c r="Y15" s="428"/>
      <c r="Z15" s="442"/>
      <c r="AA15" s="424"/>
      <c r="AB15" s="516" t="str">
        <f>VLOOKUP(hop2,'Info-Tabellen'!$R:$V,3,0)</f>
        <v>Zeer fruitig, perzik, abrikoos, passievrucht, grapefruit, limoen, meloen, kruisbes, lychee, ananas, mango, papaya en andere tropische vruchten smaken en aroma's</v>
      </c>
      <c r="AC15" s="516"/>
      <c r="AD15" s="2"/>
      <c r="AR15" s="423"/>
      <c r="AS15" s="423"/>
      <c r="AT15" s="2"/>
      <c r="AU15" s="12"/>
      <c r="AV15" s="12"/>
      <c r="AW15" s="12"/>
      <c r="AX15" s="12"/>
      <c r="AY15" s="12"/>
      <c r="AZ15" s="12"/>
      <c r="BA15" s="12"/>
      <c r="BB15" s="12"/>
      <c r="BC15" s="12"/>
      <c r="BD15" s="12"/>
      <c r="BE15" s="12"/>
      <c r="BF15" s="12"/>
    </row>
    <row r="16" spans="1:58" ht="12" customHeight="1">
      <c r="A16" s="30" t="s">
        <v>16</v>
      </c>
      <c r="B16" s="366">
        <f>VLOOKUP(A16,'Info-Tabellen'!$H:$J,2,0)</f>
        <v>0</v>
      </c>
      <c r="C16" s="366">
        <f>VLOOKUP(A16,'Info-Tabellen'!$H:$J,3,0)</f>
        <v>0</v>
      </c>
      <c r="D16" s="41"/>
      <c r="E16" s="32" t="str">
        <f t="shared" si="4"/>
        <v>  </v>
      </c>
      <c r="F16" s="33" t="str">
        <f t="shared" si="0"/>
        <v>  </v>
      </c>
      <c r="G16" s="272" t="str">
        <f t="shared" si="1"/>
        <v>  </v>
      </c>
      <c r="H16" s="273" t="str">
        <f t="shared" si="2"/>
        <v>  </v>
      </c>
      <c r="I16" s="306">
        <f t="shared" si="3"/>
      </c>
      <c r="J16" s="523" t="s">
        <v>79</v>
      </c>
      <c r="K16" s="524"/>
      <c r="L16" s="524"/>
      <c r="M16" s="23"/>
      <c r="N16" s="406">
        <f>IF(D16=0,0,VLOOKUP(A16,'Info-Tabellen'!$H:$K,4,0))</f>
        <v>0</v>
      </c>
      <c r="O16" s="411">
        <f t="shared" si="5"/>
        <v>0</v>
      </c>
      <c r="P16" s="375">
        <f t="shared" si="6"/>
        <v>0</v>
      </c>
      <c r="Q16" s="375" t="e">
        <f t="shared" si="7"/>
        <v>#VALUE!</v>
      </c>
      <c r="R16" s="375"/>
      <c r="S16" s="375"/>
      <c r="T16" s="462">
        <v>14</v>
      </c>
      <c r="U16" s="463">
        <v>202</v>
      </c>
      <c r="V16" s="464">
        <v>167</v>
      </c>
      <c r="W16" s="465">
        <v>52</v>
      </c>
      <c r="X16" s="466">
        <v>175</v>
      </c>
      <c r="Y16" s="428"/>
      <c r="Z16" s="472" t="s">
        <v>676</v>
      </c>
      <c r="AA16" s="424"/>
      <c r="AB16" s="516"/>
      <c r="AC16" s="516"/>
      <c r="AD16" s="2"/>
      <c r="AR16" s="423"/>
      <c r="AS16" s="423"/>
      <c r="AT16" s="2"/>
      <c r="AU16" s="12"/>
      <c r="AV16" s="12"/>
      <c r="AW16" s="12"/>
      <c r="AX16" s="12"/>
      <c r="AY16" s="12"/>
      <c r="AZ16" s="12"/>
      <c r="BA16" s="12"/>
      <c r="BB16" s="12"/>
      <c r="BC16" s="12"/>
      <c r="BD16" s="12"/>
      <c r="BE16" s="12"/>
      <c r="BF16" s="12"/>
    </row>
    <row r="17" spans="1:58" ht="12" customHeight="1" thickBot="1">
      <c r="A17" s="35" t="s">
        <v>16</v>
      </c>
      <c r="B17" s="367">
        <f>VLOOKUP(A17,'Info-Tabellen'!$H:$J,2,0)</f>
        <v>0</v>
      </c>
      <c r="C17" s="367">
        <f>VLOOKUP(A17,'Info-Tabellen'!$H:$J,3,0)</f>
        <v>0</v>
      </c>
      <c r="D17" s="36"/>
      <c r="E17" s="37" t="str">
        <f t="shared" si="4"/>
        <v>  </v>
      </c>
      <c r="F17" s="44" t="str">
        <f t="shared" si="0"/>
        <v>  </v>
      </c>
      <c r="G17" s="275" t="str">
        <f aca="true" t="shared" si="8" ref="G17:G23">IF(D17="","  ",(D17*100/Totaalkg))</f>
        <v>  </v>
      </c>
      <c r="H17" s="63" t="str">
        <f aca="true" t="shared" si="9" ref="H17:H23">IF(E17="  ","  ",(E17*100/totplato))</f>
        <v>  </v>
      </c>
      <c r="I17" s="295">
        <f t="shared" si="3"/>
      </c>
      <c r="J17" s="305">
        <f>totplato/2.7*Gewenste_liters/100</f>
        <v>0.590500464112996</v>
      </c>
      <c r="K17" s="304" t="s">
        <v>618</v>
      </c>
      <c r="L17" s="206">
        <f>(INT(160*Starter/10))*10</f>
        <v>90</v>
      </c>
      <c r="M17" s="23"/>
      <c r="N17" s="407">
        <f>IF(D17=0,0,VLOOKUP(A17,'Info-Tabellen'!$H:$K,4,0))</f>
        <v>0</v>
      </c>
      <c r="O17" s="412">
        <f t="shared" si="5"/>
        <v>0</v>
      </c>
      <c r="P17" s="375">
        <f t="shared" si="6"/>
        <v>0</v>
      </c>
      <c r="Q17" s="375" t="e">
        <f t="shared" si="7"/>
        <v>#VALUE!</v>
      </c>
      <c r="R17" s="375"/>
      <c r="S17" s="375"/>
      <c r="T17" s="462">
        <v>15</v>
      </c>
      <c r="U17" s="463">
        <v>194</v>
      </c>
      <c r="V17" s="464">
        <v>156</v>
      </c>
      <c r="W17" s="465">
        <v>54</v>
      </c>
      <c r="X17" s="466">
        <v>178</v>
      </c>
      <c r="Y17" s="428"/>
      <c r="Z17" s="473" t="e">
        <f>SetRGB(Z5,Z8,Z11,Z14)</f>
        <v>#VALUE!</v>
      </c>
      <c r="AA17" s="424"/>
      <c r="AB17" s="40"/>
      <c r="AC17" s="40"/>
      <c r="AD17" s="2"/>
      <c r="AR17" s="423"/>
      <c r="AS17" s="423"/>
      <c r="AT17" s="2"/>
      <c r="AU17" s="12"/>
      <c r="AV17" s="12"/>
      <c r="AW17" s="12"/>
      <c r="AX17" s="12"/>
      <c r="AY17" s="12"/>
      <c r="AZ17" s="12"/>
      <c r="BA17" s="12"/>
      <c r="BB17" s="12"/>
      <c r="BC17" s="12"/>
      <c r="BD17" s="12"/>
      <c r="BE17" s="12"/>
      <c r="BF17" s="12"/>
    </row>
    <row r="18" spans="1:58" ht="12" customHeight="1">
      <c r="A18" s="30" t="s">
        <v>16</v>
      </c>
      <c r="B18" s="366">
        <f>VLOOKUP(A18,'Info-Tabellen'!$H:$J,2,0)</f>
        <v>0</v>
      </c>
      <c r="C18" s="366">
        <f>VLOOKUP(A18,'Info-Tabellen'!$H:$J,3,0)</f>
        <v>0</v>
      </c>
      <c r="D18" s="50"/>
      <c r="E18" s="32" t="str">
        <f t="shared" si="4"/>
        <v>  </v>
      </c>
      <c r="F18" s="33" t="str">
        <f t="shared" si="0"/>
        <v>  </v>
      </c>
      <c r="G18" s="272" t="str">
        <f t="shared" si="8"/>
        <v>  </v>
      </c>
      <c r="H18" s="273" t="str">
        <f t="shared" si="9"/>
        <v>  </v>
      </c>
      <c r="I18" s="294">
        <f t="shared" si="3"/>
      </c>
      <c r="J18" s="308">
        <f>INT(Starter*totplato/4)</f>
        <v>1</v>
      </c>
      <c r="K18" s="307" t="s">
        <v>81</v>
      </c>
      <c r="L18" s="309"/>
      <c r="M18" s="23"/>
      <c r="N18" s="406">
        <f>IF(D18=0,0,VLOOKUP(A18,'Info-Tabellen'!$H:$K,4,0))</f>
        <v>0</v>
      </c>
      <c r="O18" s="411">
        <f t="shared" si="5"/>
        <v>0</v>
      </c>
      <c r="P18" s="375">
        <f t="shared" si="6"/>
        <v>0</v>
      </c>
      <c r="Q18" s="375" t="e">
        <f t="shared" si="7"/>
        <v>#VALUE!</v>
      </c>
      <c r="R18" s="375"/>
      <c r="S18" s="375"/>
      <c r="T18" s="462">
        <v>16</v>
      </c>
      <c r="U18" s="463">
        <v>190</v>
      </c>
      <c r="V18" s="464">
        <v>147</v>
      </c>
      <c r="W18" s="465">
        <v>57</v>
      </c>
      <c r="X18" s="466">
        <v>180</v>
      </c>
      <c r="Y18" s="428"/>
      <c r="Z18" s="441"/>
      <c r="AA18" s="424"/>
      <c r="AB18" s="42" t="str">
        <f>hop3</f>
        <v>Cascade BLM VDKOOY (A)</v>
      </c>
      <c r="AC18" s="40"/>
      <c r="AD18" s="2"/>
      <c r="AR18" s="423"/>
      <c r="AS18" s="423"/>
      <c r="AT18" s="2"/>
      <c r="AU18" s="12"/>
      <c r="AV18" s="12"/>
      <c r="AW18" s="12"/>
      <c r="AX18" s="12"/>
      <c r="AY18" s="12"/>
      <c r="AZ18" s="12"/>
      <c r="BA18" s="12"/>
      <c r="BB18" s="12"/>
      <c r="BC18" s="12"/>
      <c r="BD18" s="12"/>
      <c r="BE18" s="12"/>
      <c r="BF18" s="12"/>
    </row>
    <row r="19" spans="1:58" ht="12" customHeight="1">
      <c r="A19" s="51" t="s">
        <v>70</v>
      </c>
      <c r="B19" s="368">
        <f>VLOOKUP(A19,'Info-Tabellen'!$M:$O,2,0)</f>
        <v>100</v>
      </c>
      <c r="C19" s="368">
        <f>VLOOKUP(A19,'Info-Tabellen'!$M:$O,3,0)</f>
        <v>0.004500101328458176</v>
      </c>
      <c r="D19" s="52"/>
      <c r="E19" s="53" t="str">
        <f>IF(Gewenste_liters=0,"0",IF(D19=0,"  ",(B19*D19/(Gewenste_liters+hopverlies))))</f>
        <v>  </v>
      </c>
      <c r="F19" s="54" t="str">
        <f>IF(Gewenste_liters=0,"0",IF(D19=0,"  ",B19*D19/100/Gewenste_liters*C19))</f>
        <v>  </v>
      </c>
      <c r="G19" s="55" t="str">
        <f t="shared" si="8"/>
        <v>  </v>
      </c>
      <c r="H19" s="55" t="str">
        <f t="shared" si="9"/>
        <v>  </v>
      </c>
      <c r="I19" s="296">
        <f t="shared" si="3"/>
      </c>
      <c r="J19" s="310" t="s">
        <v>615</v>
      </c>
      <c r="K19" s="208">
        <f>Starter*1.05</f>
        <v>0.6200254873186458</v>
      </c>
      <c r="L19" s="309" t="s">
        <v>616</v>
      </c>
      <c r="M19" s="23"/>
      <c r="N19" s="408">
        <f>IF(D19=0,0,VLOOKUP(A19,'Info-Tabellen'!$M:$P,4,0))</f>
        <v>0</v>
      </c>
      <c r="O19" s="413">
        <f>IF(N19=0,0,(SVGopsuiker*N19/100))</f>
        <v>0</v>
      </c>
      <c r="P19" s="375">
        <f t="shared" si="6"/>
        <v>0.6016866379779061</v>
      </c>
      <c r="Q19" s="375"/>
      <c r="R19" s="375"/>
      <c r="S19" s="375"/>
      <c r="T19" s="462">
        <v>17</v>
      </c>
      <c r="U19" s="463">
        <v>193</v>
      </c>
      <c r="V19" s="464">
        <v>145</v>
      </c>
      <c r="W19" s="465">
        <v>59</v>
      </c>
      <c r="X19" s="466">
        <v>201</v>
      </c>
      <c r="Y19" s="428"/>
      <c r="Z19" s="441"/>
      <c r="AA19" s="424"/>
      <c r="AB19" s="516" t="str">
        <f>VLOOKUP(hop3,'Info-Tabellen'!$R:$V,3,0)</f>
        <v>Medium sterk aroma. Amerika´s meest populaire aromahop. Heeft een kenmerkend citrus- tot grapefruitkarakter.</v>
      </c>
      <c r="AC19" s="516"/>
      <c r="AD19" s="2"/>
      <c r="AR19" s="423"/>
      <c r="AS19" s="423"/>
      <c r="AT19" s="2"/>
      <c r="AU19" s="12"/>
      <c r="AV19" s="12"/>
      <c r="AW19" s="12"/>
      <c r="AX19" s="12"/>
      <c r="AY19" s="12"/>
      <c r="AZ19" s="12"/>
      <c r="BA19" s="12"/>
      <c r="BB19" s="12"/>
      <c r="BC19" s="12"/>
      <c r="BD19" s="12"/>
      <c r="BE19" s="12"/>
      <c r="BF19" s="12"/>
    </row>
    <row r="20" spans="1:58" ht="12" customHeight="1">
      <c r="A20" s="57" t="s">
        <v>20</v>
      </c>
      <c r="B20" s="369">
        <f>VLOOKUP(A20,'Info-Tabellen'!$M:$O,2,0)</f>
        <v>0</v>
      </c>
      <c r="C20" s="369">
        <f>VLOOKUP(A20,'Info-Tabellen'!$M:$O,3,0)</f>
        <v>0</v>
      </c>
      <c r="D20" s="239"/>
      <c r="E20" s="241" t="str">
        <f>IF(Gewenste_liters=0,"0",IF(D20=0,"  ",(B20*D20/(Gewenste_liters+hopverlies))))</f>
        <v>  </v>
      </c>
      <c r="F20" s="58" t="str">
        <f>IF(Gewenste_liters=0,"0",IF(D20=0,"  ",B20*D20/100/Gewenste_liters*C20))</f>
        <v>  </v>
      </c>
      <c r="G20" s="59" t="str">
        <f t="shared" si="8"/>
        <v>  </v>
      </c>
      <c r="H20" s="59" t="str">
        <f t="shared" si="9"/>
        <v>  </v>
      </c>
      <c r="I20" s="297">
        <f t="shared" si="3"/>
      </c>
      <c r="J20" s="532" t="s">
        <v>617</v>
      </c>
      <c r="K20" s="533"/>
      <c r="L20" s="209">
        <f>Gewenste_liters/21*totplato</f>
        <v>7.592148824309949</v>
      </c>
      <c r="M20" s="23"/>
      <c r="N20" s="409">
        <f>IF(D20=0,0,VLOOKUP(A20,'Info-Tabellen'!$M:$P,4,0))</f>
        <v>0</v>
      </c>
      <c r="O20" s="414">
        <f>IF(N20=0,0,(SVGopsuiker*N20/100))</f>
        <v>0</v>
      </c>
      <c r="P20" s="375">
        <f t="shared" si="6"/>
        <v>0</v>
      </c>
      <c r="Q20" s="375"/>
      <c r="R20" s="375"/>
      <c r="S20" s="375"/>
      <c r="T20" s="462">
        <v>18</v>
      </c>
      <c r="U20" s="463">
        <v>192</v>
      </c>
      <c r="V20" s="464">
        <v>140</v>
      </c>
      <c r="W20" s="465">
        <v>61</v>
      </c>
      <c r="X20" s="466">
        <v>202</v>
      </c>
      <c r="Y20" s="428"/>
      <c r="Z20" s="441"/>
      <c r="AA20" s="424"/>
      <c r="AB20" s="516"/>
      <c r="AC20" s="516"/>
      <c r="AD20" s="2"/>
      <c r="AR20" s="423"/>
      <c r="AS20" s="423"/>
      <c r="AT20" s="2"/>
      <c r="AU20" s="12"/>
      <c r="AV20" s="12"/>
      <c r="AW20" s="12"/>
      <c r="AX20" s="12"/>
      <c r="AY20" s="12"/>
      <c r="AZ20" s="12"/>
      <c r="BA20" s="12"/>
      <c r="BB20" s="12"/>
      <c r="BC20" s="12"/>
      <c r="BD20" s="12"/>
      <c r="BE20" s="12"/>
      <c r="BF20" s="12"/>
    </row>
    <row r="21" spans="1:58" ht="12" customHeight="1">
      <c r="A21" s="62" t="s">
        <v>20</v>
      </c>
      <c r="B21" s="238">
        <f>VLOOKUP(A21,'Info-Tabellen'!$M:$O,2,0)</f>
        <v>0</v>
      </c>
      <c r="C21" s="238">
        <f>VLOOKUP(A21,'Info-Tabellen'!$M:$O,3,0)</f>
        <v>0</v>
      </c>
      <c r="D21" s="240"/>
      <c r="E21" s="242" t="str">
        <f>IF(Gewenste_liters=0,"0",IF(D21=0,"  ",(B21*D21/(Gewenste_liters+hopverlies))))</f>
        <v>  </v>
      </c>
      <c r="F21" s="238" t="str">
        <f>IF(Gewenste_liters=0,"0",IF(D21=0,"  ",B21*D21/100/Gewenste_liters*C21))</f>
        <v>  </v>
      </c>
      <c r="G21" s="63" t="str">
        <f t="shared" si="8"/>
        <v>  </v>
      </c>
      <c r="H21" s="63" t="str">
        <f t="shared" si="9"/>
        <v>  </v>
      </c>
      <c r="I21" s="295">
        <f t="shared" si="3"/>
      </c>
      <c r="K21" s="311" t="s">
        <v>619</v>
      </c>
      <c r="M21" s="23"/>
      <c r="N21" s="407">
        <f>IF(D21=0,0,VLOOKUP(A21,'Info-Tabellen'!$M:$P,4,0))</f>
        <v>0</v>
      </c>
      <c r="O21" s="412">
        <f>IF(N21=0,0,(SVGopsuiker*N21/100))</f>
        <v>0</v>
      </c>
      <c r="P21" s="375">
        <f t="shared" si="6"/>
        <v>0</v>
      </c>
      <c r="Q21" s="375"/>
      <c r="R21" s="375"/>
      <c r="S21" s="375"/>
      <c r="T21" s="462">
        <v>19</v>
      </c>
      <c r="U21" s="463">
        <v>191</v>
      </c>
      <c r="V21" s="464">
        <v>135</v>
      </c>
      <c r="W21" s="465">
        <v>59</v>
      </c>
      <c r="X21" s="466">
        <v>204</v>
      </c>
      <c r="Y21" s="428"/>
      <c r="Z21" s="441"/>
      <c r="AA21" s="424"/>
      <c r="AB21" s="40"/>
      <c r="AC21" s="40"/>
      <c r="AD21" s="2"/>
      <c r="AR21" s="423"/>
      <c r="AS21" s="423"/>
      <c r="AT21" s="2"/>
      <c r="AU21" s="12"/>
      <c r="AV21" s="12"/>
      <c r="AW21" s="12"/>
      <c r="AX21" s="12"/>
      <c r="AY21" s="12"/>
      <c r="AZ21" s="12"/>
      <c r="BA21" s="12"/>
      <c r="BB21" s="12"/>
      <c r="BC21" s="12"/>
      <c r="BD21" s="12"/>
      <c r="BE21" s="12"/>
      <c r="BF21" s="12"/>
    </row>
    <row r="22" spans="1:58" ht="12" customHeight="1">
      <c r="A22" s="57" t="s">
        <v>20</v>
      </c>
      <c r="B22" s="369">
        <f>VLOOKUP(A22,'Info-Tabellen'!$M:$O,2,0)</f>
        <v>0</v>
      </c>
      <c r="C22" s="369">
        <f>VLOOKUP(A22,'Info-Tabellen'!$M:$O,3,0)</f>
        <v>0</v>
      </c>
      <c r="D22" s="239"/>
      <c r="E22" s="241" t="str">
        <f>IF(Gewenste_liters=0,"0",IF(D22=0,"  ",(B22*D22/(Gewenste_liters+hopverlies))))</f>
        <v>  </v>
      </c>
      <c r="F22" s="58" t="str">
        <f>IF(Gewenste_liters=0,"0",IF(D22=0,"  ",B22*D22/100/Gewenste_liters*C22))</f>
        <v>  </v>
      </c>
      <c r="G22" s="59" t="str">
        <f t="shared" si="8"/>
        <v>  </v>
      </c>
      <c r="H22" s="59" t="str">
        <f t="shared" si="9"/>
        <v>  </v>
      </c>
      <c r="I22" s="297">
        <f t="shared" si="3"/>
      </c>
      <c r="J22" s="88" t="s">
        <v>26</v>
      </c>
      <c r="K22" s="87">
        <f>($L$27+verlieswater)</f>
        <v>19.569010543952004</v>
      </c>
      <c r="L22" s="87">
        <f>$K$22*1.04</f>
        <v>20.351770965710084</v>
      </c>
      <c r="M22" s="23"/>
      <c r="N22" s="409">
        <f>IF(D22=0,0,VLOOKUP(A22,'Info-Tabellen'!$M:$P,4,0))</f>
        <v>0</v>
      </c>
      <c r="O22" s="414">
        <f>IF(N22=0,0,(SVGopsuiker*N22/100))</f>
        <v>0</v>
      </c>
      <c r="P22" s="375">
        <f t="shared" si="6"/>
        <v>0</v>
      </c>
      <c r="Q22" s="375"/>
      <c r="R22" s="375"/>
      <c r="S22" s="375"/>
      <c r="T22" s="462">
        <v>20</v>
      </c>
      <c r="U22" s="463">
        <v>191</v>
      </c>
      <c r="V22" s="464">
        <v>130</v>
      </c>
      <c r="W22" s="465">
        <v>58</v>
      </c>
      <c r="X22" s="466">
        <v>205</v>
      </c>
      <c r="Y22" s="428"/>
      <c r="Z22" s="441"/>
      <c r="AA22" s="424"/>
      <c r="AB22" s="42" t="str">
        <f>hop4</f>
        <v> - - Kies hop - -</v>
      </c>
      <c r="AC22" s="40"/>
      <c r="AD22" s="2"/>
      <c r="AR22" s="423"/>
      <c r="AS22" s="423"/>
      <c r="AT22" s="2"/>
      <c r="AU22" s="12"/>
      <c r="AV22" s="12"/>
      <c r="AW22" s="12"/>
      <c r="AX22" s="12"/>
      <c r="AY22" s="12"/>
      <c r="AZ22" s="12"/>
      <c r="BA22" s="12"/>
      <c r="BB22" s="12"/>
      <c r="BC22" s="12"/>
      <c r="BD22" s="12"/>
      <c r="BE22" s="12"/>
      <c r="BF22" s="12"/>
    </row>
    <row r="23" spans="1:58" ht="12" customHeight="1">
      <c r="A23" s="62" t="s">
        <v>20</v>
      </c>
      <c r="B23" s="238">
        <f>VLOOKUP(A23,'Info-Tabellen'!$M:$O,2,0)</f>
        <v>0</v>
      </c>
      <c r="C23" s="238">
        <f>VLOOKUP(A23,'Info-Tabellen'!$M:$O,3,0)</f>
        <v>0</v>
      </c>
      <c r="D23" s="243"/>
      <c r="E23" s="287" t="str">
        <f>IF(Gewenste_liters=0,"0",IF(D23=0,"  ",(B23*D23*0.99/Gewenste_liters+hopverlies)))</f>
        <v>  </v>
      </c>
      <c r="F23" s="64" t="str">
        <f>IF(Gewenste_liters=0,"0",IF(D23=0,"  ",B23*D23/100/Gewenste_liters*C23))</f>
        <v>  </v>
      </c>
      <c r="G23" s="65" t="str">
        <f t="shared" si="8"/>
        <v>  </v>
      </c>
      <c r="H23" s="65" t="str">
        <f t="shared" si="9"/>
        <v>  </v>
      </c>
      <c r="I23" s="298">
        <f t="shared" si="3"/>
      </c>
      <c r="K23" s="311" t="s">
        <v>620</v>
      </c>
      <c r="M23" s="23"/>
      <c r="N23" s="407">
        <f>IF(D23=0,0,VLOOKUP(A23,'Info-Tabellen'!$M:$P,4,0))</f>
        <v>0</v>
      </c>
      <c r="O23" s="412">
        <f>IF(N23=0,0,(SVGopsuiker*N23/100))</f>
        <v>0</v>
      </c>
      <c r="P23" s="375">
        <f t="shared" si="6"/>
        <v>0</v>
      </c>
      <c r="Q23" s="375"/>
      <c r="R23" s="375"/>
      <c r="S23" s="375"/>
      <c r="T23" s="462">
        <v>21</v>
      </c>
      <c r="U23" s="463">
        <v>191</v>
      </c>
      <c r="V23" s="464">
        <v>127</v>
      </c>
      <c r="W23" s="465">
        <v>56</v>
      </c>
      <c r="X23" s="466">
        <v>206</v>
      </c>
      <c r="Y23" s="428"/>
      <c r="Z23" s="441"/>
      <c r="AA23" s="424"/>
      <c r="AB23" s="516">
        <f>VLOOKUP(hop4,'Info-Tabellen'!$R:$V,3,0)</f>
        <v>0</v>
      </c>
      <c r="AC23" s="516"/>
      <c r="AD23" s="2"/>
      <c r="AR23" s="423"/>
      <c r="AS23" s="423"/>
      <c r="AT23" s="2"/>
      <c r="AU23" s="12"/>
      <c r="AV23" s="12"/>
      <c r="AW23" s="12"/>
      <c r="AX23" s="12"/>
      <c r="AY23" s="12"/>
      <c r="AZ23" s="12"/>
      <c r="BA23" s="12"/>
      <c r="BB23" s="12"/>
      <c r="BC23" s="12"/>
      <c r="BD23" s="12"/>
      <c r="BE23" s="12"/>
      <c r="BF23" s="12"/>
    </row>
    <row r="24" spans="1:58" ht="12" customHeight="1">
      <c r="A24" s="345" t="s">
        <v>644</v>
      </c>
      <c r="B24" s="370">
        <v>100</v>
      </c>
      <c r="C24" s="66">
        <v>9000</v>
      </c>
      <c r="D24" s="344"/>
      <c r="E24" s="258" t="s">
        <v>575</v>
      </c>
      <c r="F24" s="67" t="str">
        <f>IF(Gewenste_liters=0,"0",IF(D24=0,"  ",D24/Gewenste_liters*C24/1000))</f>
        <v>  </v>
      </c>
      <c r="G24" s="381" t="str">
        <f>IF(D24="","  ",(D24*0.1/Totaalkg))</f>
        <v>  </v>
      </c>
      <c r="H24" s="68"/>
      <c r="I24" s="299"/>
      <c r="J24" s="313">
        <f>0.1808*totplato+0.8192*voorsp_eindplato</f>
        <v>3.5543403935889453</v>
      </c>
      <c r="K24" s="314">
        <f>IF($L$10=0,1.035,$L$12/$J$12)</f>
        <v>1.035</v>
      </c>
      <c r="L24" s="382">
        <f>IF((Gewenste_liters+(1.7*moutkilos)*1.2)&lt;mashwater,mashwater+verkookwater,($K$22*1.18)+(moutkilos*0.75))</f>
        <v>25.416432441863364</v>
      </c>
      <c r="M24" s="23"/>
      <c r="N24" s="409">
        <v>0</v>
      </c>
      <c r="O24" s="414">
        <v>0</v>
      </c>
      <c r="P24" s="375">
        <f t="shared" si="6"/>
        <v>3373.8</v>
      </c>
      <c r="Q24" s="375"/>
      <c r="R24" s="375"/>
      <c r="S24" s="375"/>
      <c r="T24" s="462">
        <v>22</v>
      </c>
      <c r="U24" s="463">
        <v>193</v>
      </c>
      <c r="V24" s="464">
        <v>120</v>
      </c>
      <c r="W24" s="465">
        <v>56</v>
      </c>
      <c r="X24" s="466">
        <v>208</v>
      </c>
      <c r="Y24" s="428"/>
      <c r="Z24" s="441"/>
      <c r="AA24" s="424"/>
      <c r="AB24" s="516"/>
      <c r="AC24" s="516"/>
      <c r="AD24" s="2"/>
      <c r="AR24" s="423"/>
      <c r="AS24" s="423"/>
      <c r="AT24" s="2"/>
      <c r="AU24" s="12"/>
      <c r="AV24" s="12"/>
      <c r="AW24" s="12"/>
      <c r="AX24" s="12"/>
      <c r="AY24" s="12"/>
      <c r="AZ24" s="12"/>
      <c r="BA24" s="12"/>
      <c r="BB24" s="12"/>
      <c r="BC24" s="12"/>
      <c r="BD24" s="12"/>
      <c r="BE24" s="12"/>
      <c r="BF24" s="12"/>
    </row>
    <row r="25" spans="1:58" ht="12" customHeight="1">
      <c r="A25" s="177" t="s">
        <v>663</v>
      </c>
      <c r="B25" s="5"/>
      <c r="C25" s="69" t="s">
        <v>22</v>
      </c>
      <c r="D25" s="70">
        <f>SUM(D8:D23)</f>
        <v>3.1</v>
      </c>
      <c r="E25" s="71">
        <f>SUM(E8:E24)</f>
        <v>10.629008354033928</v>
      </c>
      <c r="F25" s="440">
        <f>SUM(F8:F24)</f>
        <v>11.122267102965287</v>
      </c>
      <c r="G25" s="389" t="s">
        <v>658</v>
      </c>
      <c r="H25" s="278"/>
      <c r="I25" s="341">
        <f>SUM(I8:I23)</f>
        <v>1.9929390663813615</v>
      </c>
      <c r="J25" s="484" t="s">
        <v>691</v>
      </c>
      <c r="K25" s="384"/>
      <c r="L25" s="385"/>
      <c r="M25" s="23"/>
      <c r="N25" s="289"/>
      <c r="O25" s="289"/>
      <c r="P25" s="379"/>
      <c r="Q25" s="379"/>
      <c r="R25" s="379"/>
      <c r="S25" s="379"/>
      <c r="T25" s="462">
        <v>23</v>
      </c>
      <c r="U25" s="463">
        <v>190</v>
      </c>
      <c r="V25" s="464">
        <v>116</v>
      </c>
      <c r="W25" s="465">
        <v>57</v>
      </c>
      <c r="X25" s="466">
        <v>209</v>
      </c>
      <c r="Y25" s="428"/>
      <c r="Z25" s="441"/>
      <c r="AA25" s="424"/>
      <c r="AB25" s="40"/>
      <c r="AC25" s="40"/>
      <c r="AD25" s="2"/>
      <c r="AR25" s="423"/>
      <c r="AS25" s="423"/>
      <c r="AT25" s="2"/>
      <c r="AU25" s="12"/>
      <c r="AV25" s="12"/>
      <c r="AW25" s="12"/>
      <c r="AX25" s="12"/>
      <c r="AY25" s="12"/>
      <c r="AZ25" s="12"/>
      <c r="BA25" s="12"/>
      <c r="BB25" s="12"/>
      <c r="BC25" s="12"/>
      <c r="BD25" s="12"/>
      <c r="BE25" s="12"/>
      <c r="BF25" s="12"/>
    </row>
    <row r="26" spans="4:58" ht="12" customHeight="1">
      <c r="D26" s="485" t="s">
        <v>692</v>
      </c>
      <c r="E26" s="391">
        <f>StamwortSG</f>
        <v>1042.6225254208678</v>
      </c>
      <c r="F26" s="440">
        <f>IF(kleur=0,0,IF(kleur&lt;2,kleur,kleur+(1.22*Kooktijd/60)))</f>
        <v>12.952267102965287</v>
      </c>
      <c r="G26" s="390" t="s">
        <v>659</v>
      </c>
      <c r="H26" s="380"/>
      <c r="I26" s="342">
        <f>IF(voorsp_eindplato=0,1000,(0.0000152482628*voorsp_eindplato*voorsp_eindplato+0.0038422807854*voorsp_eindplato+1.0000602058824)*1000)</f>
        <v>1007.7782005071736</v>
      </c>
      <c r="J26" s="484" t="s">
        <v>690</v>
      </c>
      <c r="K26" s="384"/>
      <c r="L26" s="385"/>
      <c r="M26" s="23"/>
      <c r="N26" s="288"/>
      <c r="O26" s="288"/>
      <c r="P26" s="379"/>
      <c r="Q26" s="379"/>
      <c r="R26" s="379"/>
      <c r="S26" s="379"/>
      <c r="T26" s="462">
        <v>24</v>
      </c>
      <c r="U26" s="463">
        <v>188</v>
      </c>
      <c r="V26" s="464">
        <v>112</v>
      </c>
      <c r="W26" s="465">
        <v>57</v>
      </c>
      <c r="X26" s="466">
        <v>225</v>
      </c>
      <c r="Y26" s="428"/>
      <c r="Z26" s="441"/>
      <c r="AA26" s="424"/>
      <c r="AB26" s="42" t="str">
        <f>hop5</f>
        <v> - - Kies hop - -</v>
      </c>
      <c r="AC26" s="40"/>
      <c r="AD26" s="2"/>
      <c r="AR26" s="423"/>
      <c r="AS26" s="423"/>
      <c r="AT26" s="2"/>
      <c r="AU26" s="12"/>
      <c r="AV26" s="12"/>
      <c r="AW26" s="12"/>
      <c r="AX26" s="12"/>
      <c r="AY26" s="12"/>
      <c r="AZ26" s="12"/>
      <c r="BA26" s="12"/>
      <c r="BB26" s="12"/>
      <c r="BC26" s="12"/>
      <c r="BD26" s="12"/>
      <c r="BE26" s="12"/>
      <c r="BF26" s="12"/>
    </row>
    <row r="27" spans="1:58" ht="12" customHeight="1">
      <c r="A27" s="280" t="s">
        <v>21</v>
      </c>
      <c r="G27" s="181" t="s">
        <v>693</v>
      </c>
      <c r="H27" s="339">
        <f>IF((totplato-VSPrestextract)/(2.0665-0.010665*totplato)=0,0,voorsp_eindSG/1000*VSPalcogewicht/0.794/100)</f>
        <v>0.0459744754819884</v>
      </c>
      <c r="I27" s="343" t="s">
        <v>621</v>
      </c>
      <c r="J27" s="325"/>
      <c r="K27" s="134" t="s">
        <v>626</v>
      </c>
      <c r="L27" s="383">
        <f>Gewenste_liters*(1+VSPalcvol/4)</f>
        <v>15.172404283057455</v>
      </c>
      <c r="M27" s="23"/>
      <c r="P27" s="371"/>
      <c r="Q27" s="371"/>
      <c r="R27" s="371"/>
      <c r="S27" s="371"/>
      <c r="T27" s="462">
        <v>25</v>
      </c>
      <c r="U27" s="463">
        <v>186</v>
      </c>
      <c r="V27" s="464">
        <v>106</v>
      </c>
      <c r="W27" s="465">
        <v>50</v>
      </c>
      <c r="X27" s="466">
        <v>225</v>
      </c>
      <c r="Y27" s="428"/>
      <c r="Z27" s="441"/>
      <c r="AA27" s="424"/>
      <c r="AB27" s="516">
        <f>VLOOKUP(hop5,'Info-Tabellen'!$R:$V,3,0)</f>
        <v>0</v>
      </c>
      <c r="AC27" s="516"/>
      <c r="AD27" s="2"/>
      <c r="AR27" s="423"/>
      <c r="AS27" s="423"/>
      <c r="AT27" s="2"/>
      <c r="AU27" s="12"/>
      <c r="AV27" s="12"/>
      <c r="AW27" s="12"/>
      <c r="AX27" s="12"/>
      <c r="AY27" s="12"/>
      <c r="AZ27" s="12"/>
      <c r="BA27" s="12"/>
      <c r="BB27" s="12"/>
      <c r="BC27" s="12"/>
      <c r="BD27" s="12"/>
      <c r="BE27" s="12"/>
      <c r="BF27" s="12"/>
    </row>
    <row r="28" spans="1:58" ht="12" customHeight="1">
      <c r="A28" s="75" t="s">
        <v>23</v>
      </c>
      <c r="B28" s="76">
        <f>moutkilos*mashfactor*1.02</f>
        <v>17.391000000000002</v>
      </c>
      <c r="C28" s="77" t="s">
        <v>24</v>
      </c>
      <c r="D28" s="330">
        <f>IF(moutkilos=0,55,IF(Aardbier=1,($B$30+tempverlies)*ketelinvloed/100,($B$29+tempverlies)*ketelinvloed/100))</f>
        <v>64.74503671673105</v>
      </c>
      <c r="E28" s="530" t="s">
        <v>673</v>
      </c>
      <c r="F28" s="531"/>
      <c r="G28" s="434"/>
      <c r="H28" s="23"/>
      <c r="I28" s="395" t="s">
        <v>672</v>
      </c>
      <c r="J28" s="61" t="s">
        <v>627</v>
      </c>
      <c r="M28" s="23"/>
      <c r="T28" s="462">
        <v>26</v>
      </c>
      <c r="U28" s="463">
        <v>186</v>
      </c>
      <c r="V28" s="464">
        <v>101</v>
      </c>
      <c r="W28" s="465">
        <v>51</v>
      </c>
      <c r="X28" s="466">
        <v>226</v>
      </c>
      <c r="Y28" s="428"/>
      <c r="Z28" s="441"/>
      <c r="AA28" s="424"/>
      <c r="AB28" s="516"/>
      <c r="AC28" s="516"/>
      <c r="AD28" s="2"/>
      <c r="AR28" s="423"/>
      <c r="AS28" s="423"/>
      <c r="AT28" s="2"/>
      <c r="AU28" s="12"/>
      <c r="AV28" s="12"/>
      <c r="AW28" s="12"/>
      <c r="AX28" s="12"/>
      <c r="AY28" s="12"/>
      <c r="AZ28" s="12"/>
      <c r="BA28" s="12"/>
      <c r="BB28" s="12"/>
      <c r="BC28" s="12"/>
      <c r="BD28" s="12"/>
      <c r="BE28" s="12"/>
      <c r="BF28" s="12"/>
    </row>
    <row r="29" spans="1:58" ht="12" customHeight="1">
      <c r="A29" s="78" t="str">
        <f>IF(Aardbier=1,"éénstaps maisch,",IF(Eiwitrust="N","Geen eiwitrust, direct naar ","1e fase, Eiwitrust"))</f>
        <v>Geen eiwitrust, direct naar </v>
      </c>
      <c r="B29" s="79">
        <f>IF(Aardbier=1,"      er is",IF(Eiwitrust="J",54,$B$30))</f>
        <v>62</v>
      </c>
      <c r="C29" s="80">
        <f>IF(Aardbier=1,"dus geen ",IF(Eiwitrust="J","± 2° C",""))</f>
      </c>
      <c r="D29" s="81">
        <f>IF(Aardbier=1,"eiwitrust   ",IF(Eiwitrust="J",K5,""))</f>
      </c>
      <c r="E29" s="435"/>
      <c r="F29" s="436"/>
      <c r="G29" s="491"/>
      <c r="H29" s="492"/>
      <c r="I29" s="493"/>
      <c r="L29" s="145" t="s">
        <v>675</v>
      </c>
      <c r="M29" s="23"/>
      <c r="N29" s="290"/>
      <c r="O29" s="290"/>
      <c r="P29" s="376"/>
      <c r="Q29" s="376"/>
      <c r="R29" s="376"/>
      <c r="S29" s="376"/>
      <c r="T29" s="462">
        <v>27</v>
      </c>
      <c r="U29" s="463">
        <v>181</v>
      </c>
      <c r="V29" s="464">
        <v>100</v>
      </c>
      <c r="W29" s="465">
        <v>53</v>
      </c>
      <c r="X29" s="466">
        <v>227</v>
      </c>
      <c r="Y29" s="428"/>
      <c r="Z29" s="441"/>
      <c r="AA29" s="424"/>
      <c r="AB29" s="40"/>
      <c r="AC29" s="40"/>
      <c r="AD29" s="2"/>
      <c r="AR29" s="423"/>
      <c r="AS29" s="423"/>
      <c r="AT29" s="2"/>
      <c r="AU29" s="12"/>
      <c r="AV29" s="12"/>
      <c r="AW29" s="12"/>
      <c r="AX29" s="12"/>
      <c r="AY29" s="12"/>
      <c r="AZ29" s="12"/>
      <c r="BA29" s="12"/>
      <c r="BB29" s="12"/>
      <c r="BC29" s="12"/>
      <c r="BD29" s="12"/>
      <c r="BE29" s="12"/>
      <c r="BF29" s="12"/>
    </row>
    <row r="30" spans="1:58" ht="12" customHeight="1">
      <c r="A30" s="82" t="str">
        <f>IF(Aardbier=1,"éénstaps maisch ","β amylase (maltose)")</f>
        <v>β amylase (maltose)</v>
      </c>
      <c r="B30" s="83">
        <f>IF(Aardbier=1,66,IF(Aardbier="D",62,63))</f>
        <v>62</v>
      </c>
      <c r="C30" s="84" t="str">
        <f>IF(Aardbier=1,"± 1,5°C",IF(Aardbier="D","± 1,5°C","± 2°C"))</f>
        <v>± 1,5°C</v>
      </c>
      <c r="D30" s="85">
        <f>IF(Aardbier=1,90,IF(Aardbier="Z",25-($K$5/2),45-($K$5/2)))</f>
        <v>45</v>
      </c>
      <c r="E30" s="437"/>
      <c r="F30" s="438"/>
      <c r="G30" s="494"/>
      <c r="H30" s="492"/>
      <c r="I30" s="493"/>
      <c r="J30" s="328" t="s">
        <v>628</v>
      </c>
      <c r="K30" s="134"/>
      <c r="L30" s="246">
        <f>IF(moutkilos=0,"",moutkilos+mashwater)</f>
        <v>20.491000000000003</v>
      </c>
      <c r="M30" s="23"/>
      <c r="N30" s="291"/>
      <c r="O30" s="291"/>
      <c r="P30" s="377"/>
      <c r="Q30" s="377"/>
      <c r="R30" s="377"/>
      <c r="S30" s="377"/>
      <c r="T30" s="462">
        <v>28</v>
      </c>
      <c r="U30" s="463">
        <v>177</v>
      </c>
      <c r="V30" s="464">
        <v>96</v>
      </c>
      <c r="W30" s="465">
        <v>55</v>
      </c>
      <c r="X30" s="466">
        <v>227</v>
      </c>
      <c r="Y30" s="428"/>
      <c r="Z30" s="441"/>
      <c r="AA30" s="424"/>
      <c r="AB30" s="42" t="str">
        <f>hop6</f>
        <v> - - Kies hop - -</v>
      </c>
      <c r="AC30" s="40"/>
      <c r="AD30" s="2"/>
      <c r="AR30" s="423"/>
      <c r="AS30" s="423"/>
      <c r="AT30" s="2"/>
      <c r="AU30" s="12"/>
      <c r="AV30" s="12"/>
      <c r="AW30" s="12"/>
      <c r="AX30" s="12"/>
      <c r="AY30" s="12"/>
      <c r="AZ30" s="12"/>
      <c r="BA30" s="12"/>
      <c r="BB30" s="12"/>
      <c r="BC30" s="12"/>
      <c r="BD30" s="12"/>
      <c r="BE30" s="12"/>
      <c r="BF30" s="12"/>
    </row>
    <row r="31" spans="1:58" ht="12" customHeight="1">
      <c r="A31" s="78" t="str">
        <f>IF(Aardbier="D","Gemengde amylase ",IF(Aardbier="Z","Ga snel naar volgende stap",""))</f>
        <v>Gemengde amylase </v>
      </c>
      <c r="B31" s="86" t="str">
        <f>IF(Aardbier="D","66,5","")</f>
        <v>66,5</v>
      </c>
      <c r="C31" s="86" t="str">
        <f>IF(Aardbier="D","± 1,5°C","")</f>
        <v>± 1,5°C</v>
      </c>
      <c r="D31" s="81">
        <f>IF(Aardbier="D",15,"")</f>
        <v>15</v>
      </c>
      <c r="E31" s="437"/>
      <c r="F31" s="438"/>
      <c r="G31" s="495"/>
      <c r="H31" s="492"/>
      <c r="I31" s="493"/>
      <c r="J31" s="326" t="s">
        <v>642</v>
      </c>
      <c r="M31" s="23"/>
      <c r="N31" s="292"/>
      <c r="O31" s="292"/>
      <c r="P31" s="292"/>
      <c r="Q31" s="292"/>
      <c r="R31" s="292"/>
      <c r="S31" s="292"/>
      <c r="T31" s="462">
        <v>29</v>
      </c>
      <c r="U31" s="463">
        <v>168</v>
      </c>
      <c r="V31" s="464">
        <v>92</v>
      </c>
      <c r="W31" s="465">
        <v>55</v>
      </c>
      <c r="X31" s="466">
        <v>227</v>
      </c>
      <c r="Y31" s="428"/>
      <c r="Z31" s="441"/>
      <c r="AA31" s="424"/>
      <c r="AB31" s="516">
        <f>VLOOKUP(hop6,'Info-Tabellen'!$R:$V,3,0)</f>
        <v>0</v>
      </c>
      <c r="AC31" s="516"/>
      <c r="AD31" s="2"/>
      <c r="AR31" s="423"/>
      <c r="AS31" s="423"/>
      <c r="AT31" s="2"/>
      <c r="AU31" s="12"/>
      <c r="AV31" s="12"/>
      <c r="AW31" s="12"/>
      <c r="AX31" s="12"/>
      <c r="AY31" s="12"/>
      <c r="AZ31" s="12"/>
      <c r="BA31" s="12"/>
      <c r="BB31" s="12"/>
      <c r="BC31" s="12"/>
      <c r="BD31" s="12"/>
      <c r="BE31" s="12"/>
      <c r="BF31" s="12"/>
    </row>
    <row r="32" spans="1:58" ht="12" customHeight="1">
      <c r="A32" s="89" t="str">
        <f>IF(Aardbier=1,"","α amylase (body) ")</f>
        <v>α amylase (body) </v>
      </c>
      <c r="B32" s="83">
        <f>IF(Aardbier=1,"",72)</f>
        <v>72</v>
      </c>
      <c r="C32" s="90" t="str">
        <f>IF(Aardbier=1,"",IF(Aardbier="D","± 1,5°C","± 2°C"))</f>
        <v>± 1,5°C</v>
      </c>
      <c r="D32" s="439">
        <f>IF(Aardbier=1,"",IF(Aardbier="Z",30,20))</f>
        <v>20</v>
      </c>
      <c r="G32" s="496"/>
      <c r="H32" s="492"/>
      <c r="I32" s="493"/>
      <c r="J32" s="327" t="s">
        <v>629</v>
      </c>
      <c r="K32" s="97"/>
      <c r="L32" s="145" t="s">
        <v>643</v>
      </c>
      <c r="M32" s="329"/>
      <c r="T32" s="462">
        <v>30</v>
      </c>
      <c r="U32" s="463">
        <v>165</v>
      </c>
      <c r="V32" s="464">
        <v>88</v>
      </c>
      <c r="W32" s="465">
        <v>54</v>
      </c>
      <c r="X32" s="466">
        <v>228</v>
      </c>
      <c r="Y32" s="428"/>
      <c r="Z32" s="441"/>
      <c r="AA32" s="424"/>
      <c r="AB32" s="516"/>
      <c r="AC32" s="516"/>
      <c r="AD32" s="2"/>
      <c r="AR32" s="423"/>
      <c r="AS32" s="423"/>
      <c r="AT32" s="2"/>
      <c r="AU32" s="12"/>
      <c r="BA32" s="12"/>
      <c r="BB32" s="12"/>
      <c r="BC32" s="12"/>
      <c r="BD32" s="12"/>
      <c r="BE32" s="12"/>
      <c r="BF32" s="12"/>
    </row>
    <row r="33" spans="1:58" ht="12" customHeight="1">
      <c r="A33" s="91" t="s">
        <v>27</v>
      </c>
      <c r="B33" s="92" t="s">
        <v>28</v>
      </c>
      <c r="D33" s="93" t="s">
        <v>29</v>
      </c>
      <c r="E33" s="94">
        <f>IF(mashplato&lt;SUM(E19:E23),Vast_verlies,IF(mashplato=0,0,totaalvolume-mashwater))</f>
        <v>8.025432441863362</v>
      </c>
      <c r="F33" s="95" t="s">
        <v>30</v>
      </c>
      <c r="G33" s="415" t="s">
        <v>602</v>
      </c>
      <c r="H33" s="96"/>
      <c r="I33" s="96"/>
      <c r="L33" s="98">
        <f>$L$22/6.5</f>
        <v>3.1310416870323206</v>
      </c>
      <c r="M33" s="23"/>
      <c r="N33" s="277"/>
      <c r="O33" s="245"/>
      <c r="P33" s="374"/>
      <c r="Q33" s="374"/>
      <c r="R33" s="374"/>
      <c r="S33" s="374"/>
      <c r="T33" s="462">
        <v>31</v>
      </c>
      <c r="U33" s="463">
        <v>158</v>
      </c>
      <c r="V33" s="464">
        <v>87</v>
      </c>
      <c r="W33" s="465">
        <v>57</v>
      </c>
      <c r="X33" s="466">
        <v>229</v>
      </c>
      <c r="Y33" s="428"/>
      <c r="Z33" s="441"/>
      <c r="AA33" s="424"/>
      <c r="AB33" s="12" t="s">
        <v>569</v>
      </c>
      <c r="AC33" s="2"/>
      <c r="AD33" s="2"/>
      <c r="AR33" s="423"/>
      <c r="AS33" s="423"/>
      <c r="AT33" s="2"/>
      <c r="AU33" s="12"/>
      <c r="BA33" s="12"/>
      <c r="BB33" s="12"/>
      <c r="BC33" s="12"/>
      <c r="BD33" s="12"/>
      <c r="BE33" s="12"/>
      <c r="BF33" s="12"/>
    </row>
    <row r="34" spans="1:46" ht="12" customHeight="1">
      <c r="A34" s="99" t="s">
        <v>31</v>
      </c>
      <c r="B34" s="100">
        <f>259/(259.12955-C34)*1000</f>
        <v>1011.2070239454996</v>
      </c>
      <c r="C34" s="101">
        <f>IF(mashplato&lt;13.4,3,mashplato*mashplato/58)</f>
        <v>3</v>
      </c>
      <c r="D34" s="102">
        <f>C34*1.035</f>
        <v>3.1049999999999995</v>
      </c>
      <c r="F34" s="12"/>
      <c r="G34" s="498" t="s">
        <v>634</v>
      </c>
      <c r="H34" s="499"/>
      <c r="I34" s="500"/>
      <c r="J34" s="103" t="s">
        <v>32</v>
      </c>
      <c r="K34" s="103" t="s">
        <v>33</v>
      </c>
      <c r="L34" s="104" t="s">
        <v>34</v>
      </c>
      <c r="M34" s="23"/>
      <c r="O34" s="23"/>
      <c r="P34" s="311"/>
      <c r="Q34" s="311"/>
      <c r="R34" s="311"/>
      <c r="S34" s="311"/>
      <c r="T34" s="462">
        <v>32</v>
      </c>
      <c r="U34" s="463">
        <v>149</v>
      </c>
      <c r="V34" s="464">
        <v>85</v>
      </c>
      <c r="W34" s="465">
        <v>56</v>
      </c>
      <c r="X34" s="466">
        <v>234</v>
      </c>
      <c r="Y34" s="428"/>
      <c r="Z34" s="441"/>
      <c r="AA34" s="424"/>
      <c r="AB34" s="517" t="s">
        <v>35</v>
      </c>
      <c r="AC34" s="517"/>
      <c r="AD34" s="2"/>
      <c r="AR34" s="423"/>
      <c r="AS34" s="423"/>
      <c r="AT34" s="2"/>
    </row>
    <row r="35" spans="1:46" ht="12" customHeight="1">
      <c r="A35" s="106" t="s">
        <v>36</v>
      </c>
      <c r="B35" s="103" t="s">
        <v>37</v>
      </c>
      <c r="C35" s="107" t="s">
        <v>38</v>
      </c>
      <c r="D35" s="108" t="s">
        <v>39</v>
      </c>
      <c r="E35" s="107" t="s">
        <v>40</v>
      </c>
      <c r="F35" s="109" t="s">
        <v>41</v>
      </c>
      <c r="G35" s="501" t="s">
        <v>42</v>
      </c>
      <c r="H35" s="502"/>
      <c r="I35" s="503"/>
      <c r="J35" s="110"/>
      <c r="K35" s="111" t="str">
        <f>VLOOKUP(G35,'Info-Tabellen'!$AD:$AF,2,0)</f>
        <v>-</v>
      </c>
      <c r="L35" s="112"/>
      <c r="M35" s="23"/>
      <c r="O35" s="145" t="s">
        <v>636</v>
      </c>
      <c r="T35" s="462">
        <v>33</v>
      </c>
      <c r="U35" s="463">
        <v>142</v>
      </c>
      <c r="V35" s="464">
        <v>80</v>
      </c>
      <c r="W35" s="465">
        <v>52</v>
      </c>
      <c r="X35" s="466">
        <v>234</v>
      </c>
      <c r="Y35" s="429"/>
      <c r="Z35" s="441"/>
      <c r="AA35" s="424"/>
      <c r="AB35" s="514" t="str">
        <f>VLOOKUP(G35,'Info-Tabellen'!$AD:$AF,3,0)</f>
        <v>-</v>
      </c>
      <c r="AC35" s="514"/>
      <c r="AD35" s="2"/>
      <c r="AR35" s="423"/>
      <c r="AS35" s="423"/>
      <c r="AT35" s="2"/>
    </row>
    <row r="36" spans="1:46" ht="12" customHeight="1">
      <c r="A36" s="113" t="s">
        <v>463</v>
      </c>
      <c r="B36" s="114" t="s">
        <v>44</v>
      </c>
      <c r="C36" s="115">
        <v>30</v>
      </c>
      <c r="D36" s="358">
        <f>VLOOKUP(hop1,'Info-Tabellen'!$R:$T,2,0)</f>
        <v>5.7</v>
      </c>
      <c r="E36" s="349" t="s">
        <v>701</v>
      </c>
      <c r="F36" s="118">
        <f aca="true" t="shared" si="10" ref="F36:F41">IF(E36="","",IF(E36="koud",0,IF(E36="FWH",TANH(PI()*Kooktijd/120)*0.398*0.00055^(MaischSG/1000-1)*C36*D36*8/Gewenste_liters,IF(C36=0,"  ",IF(E36&gt;Kooktijd,0,IF(B36="PELL",TANH(PI()*(Kooktijd-E36)/120)*0.398*0.00055^(MaischSG/1000-1)*C36*D36*10/Gewenste_liters*1.1,TANH(PI()*(Kooktijd-E36)/120)*0.398*0.00055^(MaischSG/1000-1)*C36*D36*10/Gewenste_liters))))))</f>
        <v>25.89052988345742</v>
      </c>
      <c r="G36" s="501" t="s">
        <v>42</v>
      </c>
      <c r="H36" s="502"/>
      <c r="I36" s="503"/>
      <c r="J36" s="116"/>
      <c r="K36" s="119" t="str">
        <f>VLOOKUP(G36,'Info-Tabellen'!$AD:$AF,2,0)</f>
        <v>-</v>
      </c>
      <c r="L36" s="120"/>
      <c r="M36" s="23"/>
      <c r="N36" s="395"/>
      <c r="O36" s="475">
        <f aca="true" t="shared" si="11" ref="O36:O41">IF(B36="BLM",C36*0.006,C36*0.00267)</f>
        <v>0.18</v>
      </c>
      <c r="T36" s="462">
        <v>34</v>
      </c>
      <c r="U36" s="463">
        <v>135</v>
      </c>
      <c r="V36" s="464">
        <v>75</v>
      </c>
      <c r="W36" s="465">
        <v>48</v>
      </c>
      <c r="X36" s="466">
        <v>236</v>
      </c>
      <c r="Y36" s="428"/>
      <c r="Z36" s="441"/>
      <c r="AA36" s="424"/>
      <c r="AB36" s="513" t="str">
        <f>VLOOKUP(G36,'Info-Tabellen'!$AD:$AF,3,0)</f>
        <v>-</v>
      </c>
      <c r="AC36" s="513"/>
      <c r="AD36" s="2"/>
      <c r="AR36" s="423"/>
      <c r="AS36" s="423"/>
      <c r="AT36" s="2"/>
    </row>
    <row r="37" spans="1:46" ht="12" customHeight="1">
      <c r="A37" s="121" t="s">
        <v>574</v>
      </c>
      <c r="B37" s="122" t="s">
        <v>665</v>
      </c>
      <c r="C37" s="123">
        <v>5.9</v>
      </c>
      <c r="D37" s="359">
        <f>VLOOKUP(hop2,'Info-Tabellen'!$R:$T,2,0)</f>
        <v>13.4</v>
      </c>
      <c r="E37" s="124">
        <f>Kooktijd-6</f>
        <v>84</v>
      </c>
      <c r="F37" s="125">
        <f t="shared" si="10"/>
        <v>2.6108126308268256</v>
      </c>
      <c r="G37" s="501" t="s">
        <v>42</v>
      </c>
      <c r="H37" s="502"/>
      <c r="I37" s="503"/>
      <c r="J37" s="110"/>
      <c r="K37" s="111" t="str">
        <f>VLOOKUP(G37,'Info-Tabellen'!$AD:$AF,2,0)</f>
        <v>-</v>
      </c>
      <c r="L37" s="112"/>
      <c r="M37" s="23"/>
      <c r="N37" s="395"/>
      <c r="O37" s="475">
        <f t="shared" si="11"/>
        <v>0.015753</v>
      </c>
      <c r="T37" s="462">
        <v>35</v>
      </c>
      <c r="U37" s="463">
        <v>130</v>
      </c>
      <c r="V37" s="464">
        <v>72</v>
      </c>
      <c r="W37" s="465">
        <v>46</v>
      </c>
      <c r="X37" s="466">
        <v>237</v>
      </c>
      <c r="Y37" s="428"/>
      <c r="Z37" s="441"/>
      <c r="AA37" s="424"/>
      <c r="AB37" s="514" t="str">
        <f>VLOOKUP(G37,'Info-Tabellen'!$AD:$AF,3,0)</f>
        <v>-</v>
      </c>
      <c r="AC37" s="514"/>
      <c r="AD37" s="2"/>
      <c r="AR37" s="423"/>
      <c r="AS37" s="423"/>
      <c r="AT37" s="2"/>
    </row>
    <row r="38" spans="1:52" ht="12" customHeight="1">
      <c r="A38" s="113" t="s">
        <v>640</v>
      </c>
      <c r="B38" s="114" t="s">
        <v>44</v>
      </c>
      <c r="C38" s="115">
        <v>25.2</v>
      </c>
      <c r="D38" s="358">
        <f>VLOOKUP(hop3,'Info-Tabellen'!$R:$T,2,0)</f>
        <v>8</v>
      </c>
      <c r="E38" s="117">
        <f>Kooktijd-6</f>
        <v>84</v>
      </c>
      <c r="F38" s="118">
        <f t="shared" si="10"/>
        <v>6.052248308243312</v>
      </c>
      <c r="G38" s="501" t="s">
        <v>42</v>
      </c>
      <c r="H38" s="502"/>
      <c r="I38" s="503"/>
      <c r="J38" s="116"/>
      <c r="K38" s="119" t="str">
        <f>VLOOKUP(G38,'Info-Tabellen'!$AD:$AF,2,0)</f>
        <v>-</v>
      </c>
      <c r="L38" s="120"/>
      <c r="M38" s="23"/>
      <c r="N38" s="395"/>
      <c r="O38" s="475">
        <f t="shared" si="11"/>
        <v>0.1512</v>
      </c>
      <c r="T38" s="462">
        <v>36</v>
      </c>
      <c r="U38" s="463">
        <v>119</v>
      </c>
      <c r="V38" s="464">
        <v>70</v>
      </c>
      <c r="W38" s="465">
        <v>38</v>
      </c>
      <c r="X38" s="466">
        <v>237</v>
      </c>
      <c r="Y38" s="428"/>
      <c r="Z38" s="441"/>
      <c r="AA38" s="424"/>
      <c r="AB38" s="513" t="str">
        <f>VLOOKUP(G38,'Info-Tabellen'!$AD:$AF,3,0)</f>
        <v>-</v>
      </c>
      <c r="AC38" s="513"/>
      <c r="AD38" s="2"/>
      <c r="AR38" s="423"/>
      <c r="AS38" s="423"/>
      <c r="AT38" s="2"/>
      <c r="AV38" s="126"/>
      <c r="AW38" s="126"/>
      <c r="AX38" s="126"/>
      <c r="AY38" s="126"/>
      <c r="AZ38" s="126"/>
    </row>
    <row r="39" spans="1:52" ht="12" customHeight="1">
      <c r="A39" s="121" t="s">
        <v>43</v>
      </c>
      <c r="B39" s="122" t="s">
        <v>665</v>
      </c>
      <c r="C39" s="127"/>
      <c r="D39" s="359">
        <f>VLOOKUP(hop4,'Info-Tabellen'!$R:$T,2,0)</f>
        <v>0</v>
      </c>
      <c r="E39" s="128"/>
      <c r="F39" s="125">
        <f t="shared" si="10"/>
      </c>
      <c r="G39" s="501" t="s">
        <v>42</v>
      </c>
      <c r="H39" s="502"/>
      <c r="I39" s="503"/>
      <c r="J39" s="110"/>
      <c r="K39" s="111" t="str">
        <f>VLOOKUP(G39,'Info-Tabellen'!$AD:$AF,2,0)</f>
        <v>-</v>
      </c>
      <c r="L39" s="112"/>
      <c r="M39" s="23"/>
      <c r="N39" s="395"/>
      <c r="O39" s="475">
        <f t="shared" si="11"/>
        <v>0</v>
      </c>
      <c r="T39" s="462">
        <v>37</v>
      </c>
      <c r="U39" s="463">
        <v>111</v>
      </c>
      <c r="V39" s="464">
        <v>67</v>
      </c>
      <c r="W39" s="465">
        <v>36</v>
      </c>
      <c r="X39" s="466">
        <v>238</v>
      </c>
      <c r="Y39" s="428"/>
      <c r="Z39" s="441"/>
      <c r="AA39" s="424"/>
      <c r="AB39" s="514" t="str">
        <f>VLOOKUP(G39,'Info-Tabellen'!$AD:$AF,3,0)</f>
        <v>-</v>
      </c>
      <c r="AC39" s="514"/>
      <c r="AD39" s="2"/>
      <c r="AR39" s="423"/>
      <c r="AS39" s="423"/>
      <c r="AT39" s="2"/>
      <c r="AV39" s="126"/>
      <c r="AW39" s="126"/>
      <c r="AX39" s="126"/>
      <c r="AY39" s="126"/>
      <c r="AZ39" s="126"/>
    </row>
    <row r="40" spans="1:58" ht="12" customHeight="1">
      <c r="A40" s="113" t="s">
        <v>43</v>
      </c>
      <c r="B40" s="114" t="s">
        <v>665</v>
      </c>
      <c r="C40" s="115"/>
      <c r="D40" s="358">
        <f>VLOOKUP(hop5,'Info-Tabellen'!$R:$T,2,0)</f>
        <v>0</v>
      </c>
      <c r="E40" s="117"/>
      <c r="F40" s="118">
        <f t="shared" si="10"/>
      </c>
      <c r="G40" s="501" t="s">
        <v>42</v>
      </c>
      <c r="H40" s="502"/>
      <c r="I40" s="503"/>
      <c r="J40" s="116"/>
      <c r="K40" s="119" t="str">
        <f>VLOOKUP(G40,'Info-Tabellen'!$AD:$AF,2,0)</f>
        <v>-</v>
      </c>
      <c r="L40" s="120"/>
      <c r="M40" s="23"/>
      <c r="N40" s="395"/>
      <c r="O40" s="475">
        <f t="shared" si="11"/>
        <v>0</v>
      </c>
      <c r="T40" s="462">
        <v>38</v>
      </c>
      <c r="U40" s="463">
        <v>105</v>
      </c>
      <c r="V40" s="464">
        <v>62</v>
      </c>
      <c r="W40" s="465">
        <v>28</v>
      </c>
      <c r="X40" s="466">
        <v>239</v>
      </c>
      <c r="Y40" s="428"/>
      <c r="Z40" s="441"/>
      <c r="AA40" s="424"/>
      <c r="AB40" s="513" t="str">
        <f>VLOOKUP(G40,'Info-Tabellen'!$AD:$AF,3,0)</f>
        <v>-</v>
      </c>
      <c r="AC40" s="513"/>
      <c r="AD40" s="2"/>
      <c r="AR40" s="423"/>
      <c r="AS40" s="423"/>
      <c r="AT40" s="2"/>
      <c r="AU40" s="126"/>
      <c r="AV40" s="34"/>
      <c r="AW40" s="34"/>
      <c r="AX40" s="34"/>
      <c r="AY40" s="34"/>
      <c r="AZ40" s="34"/>
      <c r="BA40" s="126"/>
      <c r="BB40" s="126"/>
      <c r="BC40" s="126"/>
      <c r="BD40" s="126"/>
      <c r="BE40" s="126"/>
      <c r="BF40" s="126"/>
    </row>
    <row r="41" spans="1:58" ht="12" customHeight="1">
      <c r="A41" s="121" t="s">
        <v>43</v>
      </c>
      <c r="B41" s="122" t="s">
        <v>44</v>
      </c>
      <c r="C41" s="129"/>
      <c r="D41" s="360">
        <f>VLOOKUP(hop6,'Info-Tabellen'!$R:$T,2,0)</f>
        <v>0</v>
      </c>
      <c r="E41" s="130"/>
      <c r="F41" s="131">
        <f t="shared" si="10"/>
      </c>
      <c r="G41" s="501" t="s">
        <v>42</v>
      </c>
      <c r="H41" s="502"/>
      <c r="I41" s="503"/>
      <c r="J41" s="110"/>
      <c r="K41" s="111" t="str">
        <f>VLOOKUP(G41,'Info-Tabellen'!$AD:$AF,2,0)</f>
        <v>-</v>
      </c>
      <c r="L41" s="112"/>
      <c r="M41" s="23"/>
      <c r="N41" s="395"/>
      <c r="O41" s="475">
        <f t="shared" si="11"/>
        <v>0</v>
      </c>
      <c r="T41" s="462">
        <v>39</v>
      </c>
      <c r="U41" s="463">
        <v>99</v>
      </c>
      <c r="V41" s="464">
        <v>58</v>
      </c>
      <c r="W41" s="465">
        <v>25</v>
      </c>
      <c r="X41" s="466">
        <v>240</v>
      </c>
      <c r="Y41" s="428"/>
      <c r="Z41" s="441"/>
      <c r="AA41" s="424"/>
      <c r="AB41" s="514" t="str">
        <f>VLOOKUP(G41,'Info-Tabellen'!$AD:$AF,3,0)</f>
        <v>-</v>
      </c>
      <c r="AC41" s="514"/>
      <c r="AD41" s="2"/>
      <c r="AR41" s="423"/>
      <c r="AS41" s="423"/>
      <c r="AT41" s="2"/>
      <c r="AU41" s="126"/>
      <c r="AV41" s="34"/>
      <c r="AW41" s="34"/>
      <c r="AX41" s="34"/>
      <c r="AY41" s="34"/>
      <c r="AZ41" s="34"/>
      <c r="BA41" s="126"/>
      <c r="BB41" s="126"/>
      <c r="BC41" s="126"/>
      <c r="BD41" s="126"/>
      <c r="BE41" s="126"/>
      <c r="BF41" s="126"/>
    </row>
    <row r="42" spans="1:58" ht="12" customHeight="1">
      <c r="A42" s="320" t="s">
        <v>45</v>
      </c>
      <c r="B42" s="350" t="s">
        <v>645</v>
      </c>
      <c r="C42" s="321"/>
      <c r="D42" s="132">
        <v>6</v>
      </c>
      <c r="E42" s="318" t="s">
        <v>46</v>
      </c>
      <c r="F42" s="133" t="str">
        <f>IF(C42=0,"  ",C42*D42/Gewenste_liters)</f>
        <v>  </v>
      </c>
      <c r="G42" s="501" t="s">
        <v>42</v>
      </c>
      <c r="H42" s="502"/>
      <c r="I42" s="503"/>
      <c r="J42" s="116"/>
      <c r="K42" s="119" t="str">
        <f>VLOOKUP(G42,'Info-Tabellen'!$AD:$AF,2,0)</f>
        <v>-</v>
      </c>
      <c r="L42" s="120"/>
      <c r="M42" s="23"/>
      <c r="N42" s="394" t="s">
        <v>47</v>
      </c>
      <c r="O42" s="476">
        <f>Vast_verlies</f>
        <v>1</v>
      </c>
      <c r="P42" s="372" t="s">
        <v>48</v>
      </c>
      <c r="Q42" s="372"/>
      <c r="R42" s="372"/>
      <c r="S42" s="372"/>
      <c r="T42" s="462">
        <v>40</v>
      </c>
      <c r="U42" s="463">
        <v>91</v>
      </c>
      <c r="V42" s="464">
        <v>55</v>
      </c>
      <c r="W42" s="465">
        <v>20</v>
      </c>
      <c r="X42" s="466">
        <v>240</v>
      </c>
      <c r="Y42" s="428"/>
      <c r="Z42" s="441"/>
      <c r="AA42" s="424"/>
      <c r="AB42" s="513" t="str">
        <f>VLOOKUP(G42,'Info-Tabellen'!$AD:$AF,3,0)</f>
        <v>-</v>
      </c>
      <c r="AC42" s="513"/>
      <c r="AD42" s="2"/>
      <c r="AR42" s="423"/>
      <c r="AS42" s="423"/>
      <c r="AT42" s="2"/>
      <c r="AU42" s="34"/>
      <c r="AV42" s="34"/>
      <c r="AW42" s="34"/>
      <c r="AX42" s="34"/>
      <c r="AY42" s="34"/>
      <c r="AZ42" s="34"/>
      <c r="BA42" s="34"/>
      <c r="BB42" s="34"/>
      <c r="BC42" s="34"/>
      <c r="BD42" s="34"/>
      <c r="BE42" s="34"/>
      <c r="BF42" s="34"/>
    </row>
    <row r="43" spans="1:58" ht="12" customHeight="1">
      <c r="A43" s="322" t="s">
        <v>623</v>
      </c>
      <c r="B43" s="277"/>
      <c r="C43" s="319"/>
      <c r="D43" s="506" t="s">
        <v>49</v>
      </c>
      <c r="E43" s="507"/>
      <c r="F43" s="317">
        <f>SUM(F36:F42)</f>
        <v>34.55359082252755</v>
      </c>
      <c r="G43" s="501" t="s">
        <v>42</v>
      </c>
      <c r="H43" s="502"/>
      <c r="I43" s="503"/>
      <c r="J43" s="135"/>
      <c r="K43" s="136" t="str">
        <f>VLOOKUP(G43,'Info-Tabellen'!$AD:$AF,2,0)</f>
        <v>-</v>
      </c>
      <c r="L43" s="137"/>
      <c r="M43" s="23"/>
      <c r="N43" s="394" t="s">
        <v>50</v>
      </c>
      <c r="O43" s="476">
        <f>SUM(O36:O42)</f>
        <v>1.346953</v>
      </c>
      <c r="P43" s="372" t="s">
        <v>48</v>
      </c>
      <c r="Q43" s="372"/>
      <c r="R43" s="372"/>
      <c r="S43" s="372"/>
      <c r="T43" s="462">
        <v>41</v>
      </c>
      <c r="U43" s="463">
        <v>83</v>
      </c>
      <c r="V43" s="464">
        <v>51</v>
      </c>
      <c r="W43" s="465">
        <v>15</v>
      </c>
      <c r="X43" s="466">
        <v>241</v>
      </c>
      <c r="Y43" s="428"/>
      <c r="Z43" s="441"/>
      <c r="AA43" s="424"/>
      <c r="AB43" s="514" t="str">
        <f>VLOOKUP(G43,'Info-Tabellen'!$AD:$AF,3,0)</f>
        <v>-</v>
      </c>
      <c r="AC43" s="514"/>
      <c r="AD43" s="2"/>
      <c r="AR43" s="423"/>
      <c r="AS43" s="423"/>
      <c r="AT43" s="2"/>
      <c r="AU43" s="34"/>
      <c r="AV43" s="34"/>
      <c r="AW43" s="34"/>
      <c r="AX43" s="34"/>
      <c r="AY43" s="34"/>
      <c r="AZ43" s="34"/>
      <c r="BA43" s="34"/>
      <c r="BB43" s="34"/>
      <c r="BC43" s="34"/>
      <c r="BD43" s="34"/>
      <c r="BE43" s="34"/>
      <c r="BF43" s="34"/>
    </row>
    <row r="44" spans="1:58" ht="12" customHeight="1">
      <c r="A44" s="139" t="s">
        <v>624</v>
      </c>
      <c r="B44" s="323"/>
      <c r="C44" s="324">
        <f>VLOOKUP(HoofdGist,'Info-Tabellen'!$X:$AB,4,0)</f>
        <v>20</v>
      </c>
      <c r="D44" s="138" t="s">
        <v>625</v>
      </c>
      <c r="F44" s="140"/>
      <c r="H44" s="139" t="s">
        <v>51</v>
      </c>
      <c r="I44" s="141">
        <v>20</v>
      </c>
      <c r="M44" s="23"/>
      <c r="N44" s="394" t="s">
        <v>52</v>
      </c>
      <c r="O44" s="477">
        <f>verkookpercent/100*Kooktijd/60*$L$27</f>
        <v>3.049653260894549</v>
      </c>
      <c r="P44" s="387" t="s">
        <v>677</v>
      </c>
      <c r="Q44" s="387"/>
      <c r="R44" s="387"/>
      <c r="S44" s="387"/>
      <c r="T44" s="462">
        <v>42</v>
      </c>
      <c r="U44" s="463">
        <v>74</v>
      </c>
      <c r="V44" s="464">
        <v>47</v>
      </c>
      <c r="W44" s="465">
        <v>7</v>
      </c>
      <c r="X44" s="466">
        <v>242</v>
      </c>
      <c r="Y44" s="428"/>
      <c r="Z44" s="441"/>
      <c r="AA44" s="424"/>
      <c r="AB44" s="142"/>
      <c r="AC44" s="142"/>
      <c r="AD44" s="2"/>
      <c r="AR44" s="423"/>
      <c r="AS44" s="423"/>
      <c r="AT44" s="2"/>
      <c r="AU44" s="34"/>
      <c r="AV44" s="34"/>
      <c r="AW44" s="34"/>
      <c r="AX44" s="34"/>
      <c r="AY44" s="34"/>
      <c r="AZ44" s="34"/>
      <c r="BA44" s="34"/>
      <c r="BB44" s="34"/>
      <c r="BC44" s="34"/>
      <c r="BD44" s="34"/>
      <c r="BE44" s="34"/>
      <c r="BF44" s="34"/>
    </row>
    <row r="45" spans="1:58" ht="12" customHeight="1">
      <c r="A45" s="143" t="s">
        <v>53</v>
      </c>
      <c r="B45" s="144"/>
      <c r="C45" s="145" t="s">
        <v>54</v>
      </c>
      <c r="D45" s="146"/>
      <c r="E45" s="147" t="s">
        <v>55</v>
      </c>
      <c r="F45" s="148"/>
      <c r="G45" s="487">
        <f>Stamwort/1000</f>
        <v>1.047</v>
      </c>
      <c r="H45" s="149">
        <v>0</v>
      </c>
      <c r="I45" s="149"/>
      <c r="J45" s="151">
        <f>IF(Stamplato="","",IF(Eindcijfer="","",0.1808*Stamplato+0.8192*Eindplato))</f>
        <v>3.2800689432477723</v>
      </c>
      <c r="L45" s="150">
        <f>IF(Stamwort="","",1+(Stamplato/(258.6-0.87955*Stamplato)))</f>
        <v>1.0470003571954998</v>
      </c>
      <c r="M45" s="23"/>
      <c r="O45" s="207"/>
      <c r="P45" s="372" t="s">
        <v>678</v>
      </c>
      <c r="S45" s="386"/>
      <c r="T45" s="462">
        <v>43</v>
      </c>
      <c r="U45" s="463">
        <v>76</v>
      </c>
      <c r="V45" s="464">
        <v>45</v>
      </c>
      <c r="W45" s="465">
        <v>40</v>
      </c>
      <c r="X45" s="466">
        <v>242</v>
      </c>
      <c r="Y45" s="428"/>
      <c r="Z45" s="441"/>
      <c r="AA45" s="424"/>
      <c r="AB45" s="312"/>
      <c r="AC45" s="152"/>
      <c r="AD45" s="153"/>
      <c r="AR45" s="423"/>
      <c r="AS45" s="423"/>
      <c r="AT45" s="2"/>
      <c r="AU45" s="34"/>
      <c r="AV45" s="34"/>
      <c r="AW45" s="34"/>
      <c r="AX45" s="34"/>
      <c r="AY45" s="34"/>
      <c r="AZ45" s="34"/>
      <c r="BA45" s="34"/>
      <c r="BB45" s="34"/>
      <c r="BC45" s="34"/>
      <c r="BD45" s="34"/>
      <c r="BE45" s="34"/>
      <c r="BF45" s="34"/>
    </row>
    <row r="46" spans="1:58" ht="12" customHeight="1">
      <c r="A46" s="154" t="s">
        <v>57</v>
      </c>
      <c r="B46" s="155" t="s">
        <v>697</v>
      </c>
      <c r="C46" s="156">
        <v>1047</v>
      </c>
      <c r="D46" s="157">
        <f>IF(Stamwort="","SG",IF(meter="S.G.",Stamwort,IF(meter="°Plato",(0.0000152482628*Stamwort*Stamwort+0.0038422807854*Stamwort+1.0000602058824)*1000,IF(meter="Brix",259/(259.12955-Stamplato)*1000))))</f>
        <v>1047</v>
      </c>
      <c r="E46" s="509">
        <f>IF(Stamwort="","°Plato",IF(meter="°Plato",Stamwort,IF(meter="S.G.",(164.22197*$G$45*$G$45*$G$45-717.63578*$G$45*$G$45+1201.22307*$G$45-647.81258),IF(meter="Brix",Stamwort/Brixratio))))</f>
        <v>11.671790314761324</v>
      </c>
      <c r="F46" s="509"/>
      <c r="G46" s="510">
        <f>IF(Stamwort="","Brix",IF(meter="Brix",Stamwort,IF(meter="°Plato",Stamwort*Brixratio,IF(meter="S.G.",Stamplato*Brixratio))))</f>
        <v>12.08030297577797</v>
      </c>
      <c r="H46" s="510"/>
      <c r="K46" s="479" t="s">
        <v>682</v>
      </c>
      <c r="L46" s="158">
        <v>18.33</v>
      </c>
      <c r="M46" s="23"/>
      <c r="N46" s="403" t="s">
        <v>56</v>
      </c>
      <c r="O46" s="474">
        <f>verkookwater+hopverlies</f>
        <v>4.396606260894549</v>
      </c>
      <c r="P46" s="386" t="s">
        <v>679</v>
      </c>
      <c r="Q46" s="386"/>
      <c r="R46" s="386"/>
      <c r="T46" s="462">
        <v>44</v>
      </c>
      <c r="U46" s="463">
        <v>66</v>
      </c>
      <c r="V46" s="464">
        <v>41</v>
      </c>
      <c r="W46" s="465">
        <v>36</v>
      </c>
      <c r="X46" s="466">
        <v>243</v>
      </c>
      <c r="Y46" s="428"/>
      <c r="Z46" s="441"/>
      <c r="AA46" s="424"/>
      <c r="AB46" s="152"/>
      <c r="AC46" s="152"/>
      <c r="AD46" s="153"/>
      <c r="AR46" s="423"/>
      <c r="AS46" s="423"/>
      <c r="AT46" s="2"/>
      <c r="AU46" s="34"/>
      <c r="AV46" s="34"/>
      <c r="AW46" s="34"/>
      <c r="AX46" s="34"/>
      <c r="AY46" s="34"/>
      <c r="AZ46" s="34"/>
      <c r="BA46" s="34"/>
      <c r="BB46" s="34"/>
      <c r="BC46" s="34"/>
      <c r="BD46" s="34"/>
      <c r="BE46" s="34"/>
      <c r="BF46" s="34"/>
    </row>
    <row r="47" spans="1:58" ht="12" customHeight="1">
      <c r="A47" s="159"/>
      <c r="B47" s="160"/>
      <c r="C47" s="161" t="s">
        <v>58</v>
      </c>
      <c r="D47" s="162">
        <f>K14</f>
        <v>1007.7782005071736</v>
      </c>
      <c r="G47" s="163" t="s">
        <v>59</v>
      </c>
      <c r="H47" s="164">
        <v>19</v>
      </c>
      <c r="I47" s="282" t="s">
        <v>590</v>
      </c>
      <c r="K47" s="511">
        <v>42319</v>
      </c>
      <c r="L47" s="511"/>
      <c r="M47" s="23"/>
      <c r="O47" s="207"/>
      <c r="P47" s="386" t="s">
        <v>680</v>
      </c>
      <c r="T47" s="462">
        <v>45</v>
      </c>
      <c r="U47" s="463">
        <v>63</v>
      </c>
      <c r="V47" s="464">
        <v>38</v>
      </c>
      <c r="W47" s="465">
        <v>32</v>
      </c>
      <c r="X47" s="466">
        <v>244</v>
      </c>
      <c r="Y47" s="428"/>
      <c r="Z47" s="441"/>
      <c r="AA47" s="426"/>
      <c r="AB47" s="312"/>
      <c r="AC47" s="152"/>
      <c r="AD47" s="153"/>
      <c r="AR47" s="423"/>
      <c r="AS47" s="423"/>
      <c r="AT47" s="2"/>
      <c r="AU47" s="34"/>
      <c r="AV47" s="126"/>
      <c r="AW47" s="126"/>
      <c r="AX47" s="126"/>
      <c r="AY47" s="126"/>
      <c r="AZ47" s="126"/>
      <c r="BA47" s="34"/>
      <c r="BB47" s="34"/>
      <c r="BC47" s="34"/>
      <c r="BD47" s="34"/>
      <c r="BE47" s="34"/>
      <c r="BF47" s="34"/>
    </row>
    <row r="48" spans="2:58" ht="12" customHeight="1">
      <c r="B48" s="145" t="s">
        <v>60</v>
      </c>
      <c r="C48" s="165" t="s">
        <v>706</v>
      </c>
      <c r="G48" s="19" t="s">
        <v>61</v>
      </c>
      <c r="H48" s="155" t="s">
        <v>697</v>
      </c>
      <c r="I48" s="262"/>
      <c r="K48" s="166" t="s">
        <v>591</v>
      </c>
      <c r="L48" s="156">
        <v>1021</v>
      </c>
      <c r="M48" s="23"/>
      <c r="T48" s="462"/>
      <c r="U48" s="463"/>
      <c r="V48" s="464"/>
      <c r="W48" s="465"/>
      <c r="X48" s="466"/>
      <c r="AA48" s="72"/>
      <c r="AB48" s="312"/>
      <c r="AC48" s="152"/>
      <c r="AD48" s="153"/>
      <c r="AI48" s="425"/>
      <c r="AJ48" s="426"/>
      <c r="AK48" s="426"/>
      <c r="AL48" s="426"/>
      <c r="AM48" s="426"/>
      <c r="AN48" s="426"/>
      <c r="AO48" s="426"/>
      <c r="AQ48" s="424"/>
      <c r="AR48" s="424"/>
      <c r="AS48" s="424"/>
      <c r="AT48" s="2"/>
      <c r="AU48" s="34"/>
      <c r="BA48" s="34"/>
      <c r="BB48" s="34"/>
      <c r="BC48" s="34"/>
      <c r="BD48" s="34"/>
      <c r="BE48" s="34"/>
      <c r="BF48" s="34"/>
    </row>
    <row r="49" spans="1:58" ht="12" customHeight="1">
      <c r="A49" s="12" t="s">
        <v>568</v>
      </c>
      <c r="B49" s="5"/>
      <c r="C49" s="56"/>
      <c r="E49" s="315">
        <f>IF(Eindcijfer="","- -",81.92*(Stamplato-Eindplato)/(206.65-1.0665*Stamplato))</f>
        <v>4.321129458978316</v>
      </c>
      <c r="F49" s="167">
        <f>IF(ISNUMBER(alconalager),12-(alconalager*100/1.97),"")</f>
        <v>9.222268047600508</v>
      </c>
      <c r="G49" s="486">
        <f>IF(Eindcijfer="","°Plato",IF(meternadien="°Plato",Eindcijfer,IF(meternadien="S.G.",(259*Eindcijfer/1000-259)/(Eindcijfer/1000-0.0089),Eindcijfer/1.03)))</f>
        <v>5.373974903665667</v>
      </c>
      <c r="H49" s="504">
        <f>IF(Eindcijfer="","Brix",IF(meternadien="Brix",Eindcijfer,IF(meternadien="°Plato",Eindcijfer*Brixratio,IF(meternadien="S.G.",VLeindplato*Brixratio))))</f>
        <v>5.5620640252939655</v>
      </c>
      <c r="I49" s="504"/>
      <c r="J49" s="504"/>
      <c r="K49" s="256">
        <f>IF(Eindcijfer="","SG",IF(meternadien="S.G.",Eindcijfer,IF(meternadien="°Plato",(0.0000152482628*Eindcijfer*Eindcijfer+0.0038422807854*Eindcijfer+1.0000602058824)*1000,IF(meternadien="Brix",259/(259.12955-Eindcijfer)*1000))))</f>
        <v>1021</v>
      </c>
      <c r="L49" s="483">
        <f>IF(alconalager="","",IF(kleur&gt;107,6,((35000-(kleur^2))/3888)))</f>
        <v>8.970240528418286</v>
      </c>
      <c r="M49" s="23"/>
      <c r="T49" s="462"/>
      <c r="U49" s="463"/>
      <c r="V49" s="464"/>
      <c r="W49" s="465"/>
      <c r="X49" s="466"/>
      <c r="AA49" s="72"/>
      <c r="AI49" s="425"/>
      <c r="AJ49" s="426"/>
      <c r="AK49" s="426"/>
      <c r="AL49" s="426"/>
      <c r="AM49" s="426"/>
      <c r="AN49" s="426"/>
      <c r="AO49" s="426"/>
      <c r="AP49" s="426"/>
      <c r="AQ49" s="424"/>
      <c r="AR49" s="424"/>
      <c r="AS49" s="424"/>
      <c r="AT49" s="2"/>
      <c r="AU49" s="34"/>
      <c r="BA49" s="34"/>
      <c r="BB49" s="34"/>
      <c r="BC49" s="34"/>
      <c r="BD49" s="34"/>
      <c r="BE49" s="34"/>
      <c r="BF49" s="34"/>
    </row>
    <row r="50" spans="1:58" ht="12" customHeight="1">
      <c r="A50" s="168" t="str">
        <f>IF(refofhyg="HYGRO","°Plato en S.G. conversie &gt; ","Met een hygrometer is dit &gt;")</f>
        <v>Met een hygrometer is dit &gt;</v>
      </c>
      <c r="B50" s="169">
        <f>IF(EindSG="SG","°Pt",IF(refofhyg="REFRAC",(259*EindSG/1000-259)/(EindSG/1000-0.0089),VLeindplato))</f>
        <v>1.4279898124254453</v>
      </c>
      <c r="C50" s="170" t="s">
        <v>62</v>
      </c>
      <c r="D50" s="171">
        <f>IF(Stamplato="°Plato","SG",IF(VLeindplato="°Plato","SG",IF(refofhyg="HYGRO",VLeindSG,(1.001843-(0.002318474*Stamplato)-(0.000007775*Stamplato*Stamplato)-(0.000000034*Stamplato*Stamplato*Stamplato)+(0.00574*VLeindplato)+(0.00003344*VLeindplato*VLeindplato)+(0.000000086*VLeindplato*VLeindplato*VLeindplato))*1000)))</f>
        <v>1005.4946991408896</v>
      </c>
      <c r="F50" s="172"/>
      <c r="J50" s="134" t="s">
        <v>63</v>
      </c>
      <c r="K50" s="173">
        <f>IF(Totaalkg=0,"",IF(Bekomenliter="","",IF(Stamwort="","",StamSG/1000*Bekomenliter*totplato/(Totaalkg)/100)))</f>
        <v>0.658021677795244</v>
      </c>
      <c r="M50" s="23"/>
      <c r="T50" s="462"/>
      <c r="U50" s="463"/>
      <c r="V50" s="464"/>
      <c r="W50" s="465"/>
      <c r="X50" s="466"/>
      <c r="AA50" s="72"/>
      <c r="AB50" s="152"/>
      <c r="AC50" s="152"/>
      <c r="AD50" s="153"/>
      <c r="AN50" s="426"/>
      <c r="AO50" s="426"/>
      <c r="AP50" s="426"/>
      <c r="AQ50" s="424"/>
      <c r="AR50" s="424"/>
      <c r="AS50" s="424"/>
      <c r="AT50" s="2"/>
      <c r="AU50" s="126"/>
      <c r="BA50" s="126"/>
      <c r="BB50" s="126"/>
      <c r="BC50" s="126"/>
      <c r="BD50" s="126"/>
      <c r="BE50" s="126"/>
      <c r="BF50" s="126"/>
    </row>
    <row r="51" spans="1:46" ht="12" customHeight="1">
      <c r="A51" s="174" t="s">
        <v>64</v>
      </c>
      <c r="B51" s="175">
        <f>IF(Stamwort="","",IF(Eindcijfer="","",((StamSG-EindSG)/(StamSG-1000))))</f>
        <v>0.8830915076406476</v>
      </c>
      <c r="C51" s="176" t="s">
        <v>65</v>
      </c>
      <c r="E51" s="177"/>
      <c r="F51" s="175">
        <f>IF(Eindcijfer="","",IF(Stamplato="","",(Stamplato-Restextract)/Stamplato))</f>
        <v>0.7189746512924013</v>
      </c>
      <c r="G51" s="178">
        <f>IF(alcogewicht="","",IF(Eindcijfer="","",IF(Bekomenliter="","",EindSG/1000*alcogewicht/0.794/100)))</f>
        <v>0.054721319462269984</v>
      </c>
      <c r="H51" s="179" t="s">
        <v>25</v>
      </c>
      <c r="I51" s="180">
        <f>IF(Eindcijfer="","",IF(nietvergist&gt;6,"!!!! &gt;",IF(nietvergist&gt;5,"zie na: &gt;&gt;","")))</f>
      </c>
      <c r="K51" s="181" t="str">
        <f>IF(nietvergist="","","Ev. niet vergist suiker&gt;")</f>
        <v>Ev. niet vergist suiker&gt;</v>
      </c>
      <c r="L51" s="182">
        <f>IF(Stamwort="","",IF(Eindcijfer="","",IF(((Eindplato-voorsp_eindplato)*8.1-2)&lt;0,0,(Eindplato-voorsp_eindplato)*8.1-2)))</f>
        <v>0</v>
      </c>
      <c r="M51" s="23"/>
      <c r="T51" s="462"/>
      <c r="U51" s="463"/>
      <c r="V51" s="464"/>
      <c r="W51" s="465"/>
      <c r="X51" s="466"/>
      <c r="AA51" s="72"/>
      <c r="AB51" s="183"/>
      <c r="AC51" s="152"/>
      <c r="AD51" s="153"/>
      <c r="AI51" s="425"/>
      <c r="AJ51" s="426"/>
      <c r="AK51" s="426"/>
      <c r="AL51" s="426"/>
      <c r="AM51" s="426"/>
      <c r="AN51" s="426"/>
      <c r="AO51" s="426"/>
      <c r="AP51" s="426"/>
      <c r="AQ51" s="424"/>
      <c r="AR51" s="424"/>
      <c r="AS51" s="424"/>
      <c r="AT51" s="2"/>
    </row>
    <row r="52" spans="1:46" ht="14.25" customHeight="1">
      <c r="A52" s="184" t="s">
        <v>66</v>
      </c>
      <c r="B52" s="185">
        <f>IF($G$53="J",$K$53,IF(alconalager="","",IF(kleur&gt;50,botsuikervlgskleur,botsuikervlgsalco)))</f>
        <v>4.35</v>
      </c>
      <c r="D52" s="186" t="s">
        <v>67</v>
      </c>
      <c r="E52" s="187"/>
      <c r="F52"/>
      <c r="G52" s="188" t="s">
        <v>68</v>
      </c>
      <c r="H52" s="189"/>
      <c r="I52" s="283"/>
      <c r="J52" s="19" t="s">
        <v>622</v>
      </c>
      <c r="K52" s="505" t="s">
        <v>704</v>
      </c>
      <c r="L52" s="505"/>
      <c r="M52" s="23"/>
      <c r="T52" s="462"/>
      <c r="U52" s="463"/>
      <c r="V52" s="464"/>
      <c r="W52" s="465"/>
      <c r="X52" s="466"/>
      <c r="AA52" s="72"/>
      <c r="AB52" s="183"/>
      <c r="AC52" s="152"/>
      <c r="AD52" s="153"/>
      <c r="AI52" s="425"/>
      <c r="AJ52" s="426"/>
      <c r="AK52" s="426"/>
      <c r="AL52" s="426"/>
      <c r="AM52" s="426"/>
      <c r="AN52" s="426"/>
      <c r="AO52" s="426"/>
      <c r="AP52" s="426"/>
      <c r="AQ52" s="424"/>
      <c r="AR52" s="424"/>
      <c r="AS52" s="424"/>
      <c r="AT52" s="2"/>
    </row>
    <row r="53" spans="1:46" ht="12.75" customHeight="1">
      <c r="A53" s="74" t="s">
        <v>69</v>
      </c>
      <c r="B53" s="508" t="s">
        <v>70</v>
      </c>
      <c r="C53" s="508"/>
      <c r="F53" s="134" t="s">
        <v>71</v>
      </c>
      <c r="G53" s="60" t="s">
        <v>703</v>
      </c>
      <c r="J53" s="134" t="s">
        <v>72</v>
      </c>
      <c r="K53" s="316">
        <v>4.35</v>
      </c>
      <c r="M53" s="23"/>
      <c r="T53" s="462"/>
      <c r="U53" s="463"/>
      <c r="V53" s="464"/>
      <c r="W53" s="465"/>
      <c r="X53" s="466"/>
      <c r="AA53" s="72"/>
      <c r="AB53" s="183"/>
      <c r="AC53" s="152"/>
      <c r="AD53" s="153"/>
      <c r="AI53" s="425"/>
      <c r="AJ53" s="426"/>
      <c r="AK53" s="426"/>
      <c r="AL53" s="426"/>
      <c r="AM53" s="426"/>
      <c r="AN53" s="426"/>
      <c r="AO53" s="426"/>
      <c r="AP53" s="426"/>
      <c r="AQ53" s="424"/>
      <c r="AR53" s="424"/>
      <c r="AS53" s="424"/>
      <c r="AT53" s="2"/>
    </row>
    <row r="54" spans="1:46" ht="12" customHeight="1">
      <c r="A54" s="190" t="s">
        <v>73</v>
      </c>
      <c r="B54" s="191">
        <f>IF(Eindcijfer="","",IF(suikersoort="Kristalsuiker",adviessuiker,IF(suikersoort="Dextrose",adviessuiker/0.93,adviessuiker/0.975)))</f>
        <v>4.35</v>
      </c>
      <c r="C54" s="192" t="s">
        <v>74</v>
      </c>
      <c r="D54" s="193">
        <f>IF(Eindcijfer="","",IF(adviessuiker="","",suikergift*Bekomenliter))</f>
        <v>79.73549999999999</v>
      </c>
      <c r="F54" s="195">
        <f>IF(Eindcijfer="","",IF(adviessuiker-nietvergist&lt;0,"GEEN",suikergift-nietvergist))</f>
        <v>4.35</v>
      </c>
      <c r="G54" s="194"/>
      <c r="H54" s="285" t="s">
        <v>75</v>
      </c>
      <c r="I54" s="196">
        <f>IF(Eindcijfer="","",IF(adviessuiker-nietvergist&lt;0,"",(suikergift-nietvergist)*Bekomenliter))</f>
        <v>79.73549999999999</v>
      </c>
      <c r="J54" s="284" t="str">
        <f>IF(Eindcijfer="","",IF(suikergift=corsuiker,"Suikergift blijft dezelfde: ","Indien restsuiker verder kan uitgisten:"))</f>
        <v>Suikergift blijft dezelfde: </v>
      </c>
      <c r="K54" s="215"/>
      <c r="L54" s="215"/>
      <c r="M54" s="23"/>
      <c r="N54" s="277"/>
      <c r="O54" s="245"/>
      <c r="P54" s="374"/>
      <c r="Q54" s="374"/>
      <c r="R54" s="374"/>
      <c r="S54" s="374"/>
      <c r="T54" s="462"/>
      <c r="U54" s="463"/>
      <c r="V54" s="464"/>
      <c r="W54" s="465"/>
      <c r="X54" s="466"/>
      <c r="Y54" s="374"/>
      <c r="Z54" s="444"/>
      <c r="AA54" s="72"/>
      <c r="AB54" s="183"/>
      <c r="AC54" s="152"/>
      <c r="AD54" s="153"/>
      <c r="AI54" s="425"/>
      <c r="AJ54" s="426"/>
      <c r="AK54" s="426"/>
      <c r="AL54" s="426"/>
      <c r="AM54" s="426"/>
      <c r="AN54" s="426"/>
      <c r="AO54" s="426"/>
      <c r="AP54" s="426"/>
      <c r="AQ54" s="424"/>
      <c r="AR54" s="424"/>
      <c r="AS54" s="424"/>
      <c r="AT54" s="2"/>
    </row>
    <row r="55" spans="1:58" s="12" customFormat="1" ht="12" customHeight="1">
      <c r="A55" s="197" t="s">
        <v>76</v>
      </c>
      <c r="B55" s="198">
        <f>IF(ISNUMBER(alconalager),alconalager+(adviessuiker/16.5/100),"")</f>
        <v>0.05735768309863362</v>
      </c>
      <c r="C55" s="199"/>
      <c r="D55" s="200" t="s">
        <v>77</v>
      </c>
      <c r="E55" s="512">
        <f>IF($B$55="","",IF(Botdatum="","",IF($B$55*100&lt;5,((($B$55*100)-5)*30)+215+Botdatum,((($B$55*100)-5)*130)+215+Botdatum)))</f>
        <v>42632.64988028224</v>
      </c>
      <c r="F55" s="512"/>
      <c r="G55" s="201" t="s">
        <v>78</v>
      </c>
      <c r="H55" s="201"/>
      <c r="I55" s="201"/>
      <c r="J55" s="202"/>
      <c r="K55" s="202"/>
      <c r="L55" s="340"/>
      <c r="M55" s="220"/>
      <c r="N55" s="277"/>
      <c r="O55" s="245"/>
      <c r="P55" s="374"/>
      <c r="Q55" s="374"/>
      <c r="R55" s="374"/>
      <c r="S55" s="374"/>
      <c r="T55" s="462"/>
      <c r="U55" s="463"/>
      <c r="V55" s="464"/>
      <c r="W55" s="465"/>
      <c r="X55" s="466"/>
      <c r="Y55" s="374"/>
      <c r="Z55" s="444"/>
      <c r="AA55" s="399"/>
      <c r="AB55" s="183"/>
      <c r="AC55" s="152"/>
      <c r="AD55" s="153"/>
      <c r="AE55" s="364"/>
      <c r="AF55" s="364"/>
      <c r="AG55" s="364"/>
      <c r="AH55" s="364"/>
      <c r="AI55" s="420"/>
      <c r="AN55" s="426"/>
      <c r="AO55" s="426"/>
      <c r="AP55" s="426"/>
      <c r="AQ55" s="424"/>
      <c r="AR55" s="424"/>
      <c r="AS55" s="424"/>
      <c r="AT55" s="2"/>
      <c r="AU55" s="1"/>
      <c r="AV55" s="1"/>
      <c r="AW55" s="1"/>
      <c r="AX55" s="1"/>
      <c r="AY55" s="1"/>
      <c r="AZ55" s="1"/>
      <c r="BA55" s="1"/>
      <c r="BB55" s="1"/>
      <c r="BC55" s="1"/>
      <c r="BD55" s="1"/>
      <c r="BE55" s="1"/>
      <c r="BF55" s="1"/>
    </row>
    <row r="56" spans="1:58" s="12" customFormat="1" ht="12" customHeight="1">
      <c r="A56" s="18" t="s">
        <v>80</v>
      </c>
      <c r="B56" s="203"/>
      <c r="C56" s="203"/>
      <c r="D56" s="203"/>
      <c r="E56" s="347" t="s">
        <v>641</v>
      </c>
      <c r="F56" s="478" t="s">
        <v>695</v>
      </c>
      <c r="G56" s="346" t="s">
        <v>696</v>
      </c>
      <c r="I56" s="205"/>
      <c r="J56" s="205"/>
      <c r="K56" s="205"/>
      <c r="L56" s="205"/>
      <c r="M56" s="396"/>
      <c r="O56" s="245"/>
      <c r="P56" s="374"/>
      <c r="Q56" s="374"/>
      <c r="R56" s="374"/>
      <c r="S56" s="374"/>
      <c r="T56" s="462"/>
      <c r="U56" s="463"/>
      <c r="V56" s="464"/>
      <c r="W56" s="465"/>
      <c r="X56" s="466"/>
      <c r="Y56" s="374"/>
      <c r="Z56" s="444"/>
      <c r="AA56" s="399"/>
      <c r="AB56" s="183"/>
      <c r="AC56" s="152"/>
      <c r="AD56" s="153"/>
      <c r="AE56" s="364"/>
      <c r="AF56" s="364"/>
      <c r="AG56" s="364"/>
      <c r="AH56" s="364"/>
      <c r="AI56" s="425"/>
      <c r="AJ56" s="426"/>
      <c r="AK56" s="426"/>
      <c r="AL56" s="426"/>
      <c r="AM56" s="426"/>
      <c r="AN56" s="426"/>
      <c r="AO56" s="426"/>
      <c r="AP56" s="426"/>
      <c r="AQ56" s="424"/>
      <c r="AR56" s="424"/>
      <c r="AS56" s="424"/>
      <c r="AT56" s="2"/>
      <c r="AU56" s="1"/>
      <c r="AV56" s="1"/>
      <c r="AW56" s="1"/>
      <c r="AX56" s="1"/>
      <c r="AY56" s="1"/>
      <c r="AZ56" s="1"/>
      <c r="BA56" s="1"/>
      <c r="BB56" s="1"/>
      <c r="BC56" s="1"/>
      <c r="BD56" s="1"/>
      <c r="BE56" s="1"/>
      <c r="BF56" s="1"/>
    </row>
    <row r="57" spans="1:58" s="12" customFormat="1" ht="12" customHeight="1">
      <c r="A57" s="154" t="s">
        <v>698</v>
      </c>
      <c r="B57" s="488">
        <f>Bekomenliter</f>
        <v>18.33</v>
      </c>
      <c r="C57" s="176"/>
      <c r="D57" s="489" t="s">
        <v>699</v>
      </c>
      <c r="E57" s="536">
        <f>ROUNDDOWN(B57/0.33/24,0)</f>
        <v>2</v>
      </c>
      <c r="F57" s="537"/>
      <c r="G57" s="538">
        <f>((B57/0.33/24)-E57)*24</f>
        <v>7.545454545454536</v>
      </c>
      <c r="H57" s="539"/>
      <c r="I57" s="205"/>
      <c r="J57" s="244"/>
      <c r="K57" s="205"/>
      <c r="L57" s="205"/>
      <c r="M57" s="396"/>
      <c r="N57" s="396"/>
      <c r="O57" s="205"/>
      <c r="P57" s="373"/>
      <c r="Q57" s="373"/>
      <c r="R57" s="373"/>
      <c r="S57" s="373"/>
      <c r="T57" s="462"/>
      <c r="U57" s="463"/>
      <c r="V57" s="464"/>
      <c r="W57" s="465"/>
      <c r="X57" s="466"/>
      <c r="Y57" s="373"/>
      <c r="Z57" s="445"/>
      <c r="AA57" s="399"/>
      <c r="AB57" s="183"/>
      <c r="AC57" s="152"/>
      <c r="AD57" s="153"/>
      <c r="AE57" s="364"/>
      <c r="AF57" s="364"/>
      <c r="AG57" s="364"/>
      <c r="AH57" s="364"/>
      <c r="AI57" s="425"/>
      <c r="AJ57" s="426"/>
      <c r="AK57" s="426"/>
      <c r="AL57" s="426"/>
      <c r="AM57" s="426"/>
      <c r="AN57" s="426"/>
      <c r="AO57" s="426"/>
      <c r="AP57" s="426"/>
      <c r="AQ57" s="424"/>
      <c r="AR57" s="424"/>
      <c r="AS57" s="424"/>
      <c r="AT57" s="2"/>
      <c r="AU57" s="1"/>
      <c r="AV57" s="1"/>
      <c r="AW57" s="1"/>
      <c r="AX57" s="1"/>
      <c r="AY57" s="1"/>
      <c r="AZ57" s="1"/>
      <c r="BA57" s="1"/>
      <c r="BB57" s="1"/>
      <c r="BC57" s="1"/>
      <c r="BD57" s="1"/>
      <c r="BE57" s="1"/>
      <c r="BF57" s="1"/>
    </row>
    <row r="58" spans="1:58" s="12" customFormat="1" ht="12" customHeight="1">
      <c r="A58" s="204" t="s">
        <v>707</v>
      </c>
      <c r="B58" s="12" t="s">
        <v>708</v>
      </c>
      <c r="D58" s="205"/>
      <c r="E58" s="205"/>
      <c r="H58" s="205"/>
      <c r="I58" s="396"/>
      <c r="J58" s="433"/>
      <c r="L58" s="205"/>
      <c r="M58" s="396"/>
      <c r="N58" s="329"/>
      <c r="P58" s="373"/>
      <c r="Q58" s="373"/>
      <c r="R58" s="373"/>
      <c r="S58" s="373"/>
      <c r="T58" s="462"/>
      <c r="U58" s="463"/>
      <c r="V58" s="464"/>
      <c r="W58" s="465"/>
      <c r="X58" s="466"/>
      <c r="Y58" s="373"/>
      <c r="Z58" s="445"/>
      <c r="AA58" s="277"/>
      <c r="AB58" s="183"/>
      <c r="AC58" s="152"/>
      <c r="AD58" s="153"/>
      <c r="AE58" s="364"/>
      <c r="AF58" s="364"/>
      <c r="AG58" s="364"/>
      <c r="AH58" s="364"/>
      <c r="AI58" s="425"/>
      <c r="AJ58" s="426"/>
      <c r="AK58" s="426"/>
      <c r="AL58" s="426"/>
      <c r="AM58" s="426"/>
      <c r="AN58" s="426"/>
      <c r="AO58" s="426"/>
      <c r="AP58" s="426"/>
      <c r="AQ58" s="424"/>
      <c r="AR58" s="424"/>
      <c r="AS58" s="424"/>
      <c r="AT58" s="2"/>
      <c r="AU58" s="1"/>
      <c r="AV58" s="1"/>
      <c r="AW58" s="1"/>
      <c r="AX58" s="1"/>
      <c r="AY58" s="1"/>
      <c r="AZ58" s="1"/>
      <c r="BA58" s="1"/>
      <c r="BB58" s="1"/>
      <c r="BC58" s="1"/>
      <c r="BD58" s="1"/>
      <c r="BE58" s="1"/>
      <c r="BF58" s="1"/>
    </row>
    <row r="59" spans="1:58" s="12" customFormat="1" ht="12" customHeight="1">
      <c r="A59" s="528" t="s">
        <v>709</v>
      </c>
      <c r="B59" s="529"/>
      <c r="C59" s="529"/>
      <c r="D59" s="529"/>
      <c r="E59" s="529"/>
      <c r="F59" s="529"/>
      <c r="G59" s="529"/>
      <c r="H59" s="529"/>
      <c r="I59" s="529"/>
      <c r="J59" s="529"/>
      <c r="K59" s="203"/>
      <c r="L59" s="205"/>
      <c r="M59" s="396"/>
      <c r="N59" s="396"/>
      <c r="O59" s="205"/>
      <c r="P59" s="373"/>
      <c r="Q59" s="373"/>
      <c r="R59" s="373"/>
      <c r="S59" s="373"/>
      <c r="T59" s="462"/>
      <c r="U59" s="463"/>
      <c r="V59" s="464"/>
      <c r="W59" s="465"/>
      <c r="X59" s="466"/>
      <c r="Y59" s="373"/>
      <c r="Z59" s="445"/>
      <c r="AA59" s="400"/>
      <c r="AB59" s="183"/>
      <c r="AC59" s="152"/>
      <c r="AD59" s="153"/>
      <c r="AE59" s="364"/>
      <c r="AF59" s="364"/>
      <c r="AG59" s="364"/>
      <c r="AH59" s="364"/>
      <c r="AI59" s="425"/>
      <c r="AJ59" s="426"/>
      <c r="AK59" s="426"/>
      <c r="AL59" s="426"/>
      <c r="AM59" s="426"/>
      <c r="AN59" s="426"/>
      <c r="AO59" s="426"/>
      <c r="AP59" s="426"/>
      <c r="AQ59" s="424"/>
      <c r="AR59" s="424"/>
      <c r="AS59" s="424"/>
      <c r="AT59" s="2"/>
      <c r="AU59" s="1"/>
      <c r="AV59" s="1"/>
      <c r="AW59" s="1"/>
      <c r="AX59" s="1"/>
      <c r="AY59" s="1"/>
      <c r="AZ59" s="1"/>
      <c r="BA59" s="1"/>
      <c r="BB59" s="1"/>
      <c r="BC59" s="1"/>
      <c r="BD59" s="1"/>
      <c r="BE59" s="1"/>
      <c r="BF59" s="1"/>
    </row>
    <row r="60" spans="1:58" s="12" customFormat="1" ht="12" customHeight="1">
      <c r="A60" s="529"/>
      <c r="B60" s="529"/>
      <c r="C60" s="529"/>
      <c r="D60" s="529"/>
      <c r="E60" s="529"/>
      <c r="F60" s="529"/>
      <c r="G60" s="529"/>
      <c r="H60" s="529"/>
      <c r="I60" s="529"/>
      <c r="J60" s="529"/>
      <c r="K60" s="204"/>
      <c r="M60" s="398"/>
      <c r="N60" s="329"/>
      <c r="P60" s="88"/>
      <c r="Q60" s="88"/>
      <c r="R60" s="88"/>
      <c r="S60" s="88"/>
      <c r="T60" s="462"/>
      <c r="U60" s="463"/>
      <c r="V60" s="464"/>
      <c r="W60" s="465"/>
      <c r="X60" s="466"/>
      <c r="Y60" s="88"/>
      <c r="Z60" s="443"/>
      <c r="AA60" s="400"/>
      <c r="AB60" s="183"/>
      <c r="AC60" s="152"/>
      <c r="AD60" s="153"/>
      <c r="AE60" s="364"/>
      <c r="AF60" s="364"/>
      <c r="AG60" s="364"/>
      <c r="AH60" s="364"/>
      <c r="AI60" s="420"/>
      <c r="AN60" s="426"/>
      <c r="AO60" s="426"/>
      <c r="AP60" s="426"/>
      <c r="AQ60" s="424"/>
      <c r="AR60" s="424"/>
      <c r="AS60" s="424"/>
      <c r="AT60" s="2"/>
      <c r="AU60" s="1"/>
      <c r="AV60" s="1"/>
      <c r="AW60" s="1"/>
      <c r="AX60" s="1"/>
      <c r="AY60" s="1"/>
      <c r="AZ60" s="1"/>
      <c r="BA60" s="1"/>
      <c r="BB60" s="1"/>
      <c r="BC60" s="1"/>
      <c r="BD60" s="1"/>
      <c r="BE60" s="1"/>
      <c r="BF60" s="1"/>
    </row>
    <row r="61" spans="1:58" s="12" customFormat="1" ht="12" customHeight="1">
      <c r="A61" s="529"/>
      <c r="B61" s="529"/>
      <c r="C61" s="529"/>
      <c r="D61" s="529"/>
      <c r="E61" s="529"/>
      <c r="F61" s="529"/>
      <c r="G61" s="529"/>
      <c r="H61" s="529"/>
      <c r="I61" s="529"/>
      <c r="J61" s="529"/>
      <c r="K61" s="204"/>
      <c r="L61" s="204"/>
      <c r="M61" s="329"/>
      <c r="T61" s="462"/>
      <c r="U61" s="463"/>
      <c r="V61" s="464"/>
      <c r="W61" s="465"/>
      <c r="X61" s="466"/>
      <c r="AA61" s="400"/>
      <c r="AB61" s="211"/>
      <c r="AC61" s="152"/>
      <c r="AD61" s="210"/>
      <c r="AE61" s="365"/>
      <c r="AF61" s="365"/>
      <c r="AG61" s="365"/>
      <c r="AH61" s="365"/>
      <c r="AI61" s="425"/>
      <c r="AJ61" s="426"/>
      <c r="AK61" s="426"/>
      <c r="AL61" s="426"/>
      <c r="AM61" s="426"/>
      <c r="AN61" s="426"/>
      <c r="AO61" s="426"/>
      <c r="AP61" s="426"/>
      <c r="AQ61" s="424"/>
      <c r="AR61" s="424"/>
      <c r="AS61" s="424"/>
      <c r="AT61" s="2"/>
      <c r="AU61" s="1"/>
      <c r="AV61" s="1"/>
      <c r="AW61" s="1"/>
      <c r="AX61" s="1"/>
      <c r="AY61" s="1"/>
      <c r="AZ61" s="1"/>
      <c r="BA61" s="1"/>
      <c r="BB61" s="1"/>
      <c r="BC61" s="1"/>
      <c r="BD61" s="1"/>
      <c r="BE61" s="1"/>
      <c r="BF61" s="1"/>
    </row>
    <row r="62" spans="1:58" s="12" customFormat="1" ht="12" customHeight="1">
      <c r="A62" s="529"/>
      <c r="B62" s="529"/>
      <c r="C62" s="529"/>
      <c r="D62" s="529"/>
      <c r="E62" s="529"/>
      <c r="F62" s="529"/>
      <c r="G62" s="529"/>
      <c r="H62" s="529"/>
      <c r="I62" s="529"/>
      <c r="J62" s="529"/>
      <c r="K62" s="204"/>
      <c r="L62" s="204"/>
      <c r="M62" s="397"/>
      <c r="N62" s="397"/>
      <c r="O62" s="204"/>
      <c r="P62" s="373"/>
      <c r="Q62" s="373"/>
      <c r="R62" s="373"/>
      <c r="S62" s="373"/>
      <c r="T62" s="462"/>
      <c r="U62" s="463"/>
      <c r="V62" s="464"/>
      <c r="W62" s="465"/>
      <c r="X62" s="466"/>
      <c r="Y62" s="373"/>
      <c r="Z62" s="445"/>
      <c r="AA62" s="400"/>
      <c r="AB62" s="212"/>
      <c r="AC62" s="152"/>
      <c r="AD62" s="210"/>
      <c r="AE62" s="365"/>
      <c r="AF62" s="365"/>
      <c r="AG62" s="365"/>
      <c r="AH62" s="365"/>
      <c r="AI62" s="425"/>
      <c r="AJ62" s="426"/>
      <c r="AK62" s="426"/>
      <c r="AL62" s="426"/>
      <c r="AM62" s="426"/>
      <c r="AN62" s="426"/>
      <c r="AO62" s="426"/>
      <c r="AP62" s="426"/>
      <c r="AQ62" s="424"/>
      <c r="AR62" s="424"/>
      <c r="AS62" s="424"/>
      <c r="AT62" s="2"/>
      <c r="AU62" s="1"/>
      <c r="AV62" s="1"/>
      <c r="AW62" s="1"/>
      <c r="AX62" s="1"/>
      <c r="AY62" s="1"/>
      <c r="AZ62" s="1"/>
      <c r="BA62" s="1"/>
      <c r="BB62" s="1"/>
      <c r="BC62" s="1"/>
      <c r="BD62" s="1"/>
      <c r="BE62" s="1"/>
      <c r="BF62" s="1"/>
    </row>
    <row r="63" spans="1:58" s="12" customFormat="1" ht="12" customHeight="1">
      <c r="A63" s="529"/>
      <c r="B63" s="529"/>
      <c r="C63" s="529"/>
      <c r="D63" s="529"/>
      <c r="E63" s="529"/>
      <c r="F63" s="529"/>
      <c r="G63" s="529"/>
      <c r="H63" s="529"/>
      <c r="I63" s="529"/>
      <c r="J63" s="529"/>
      <c r="K63" s="204"/>
      <c r="L63" s="204"/>
      <c r="M63" s="397"/>
      <c r="N63" s="397"/>
      <c r="O63" s="204"/>
      <c r="P63" s="373"/>
      <c r="Q63" s="373"/>
      <c r="R63" s="373"/>
      <c r="S63" s="373"/>
      <c r="T63" s="462"/>
      <c r="U63" s="463"/>
      <c r="V63" s="464"/>
      <c r="W63" s="465"/>
      <c r="X63" s="466"/>
      <c r="Y63" s="373"/>
      <c r="Z63" s="445"/>
      <c r="AA63" s="400"/>
      <c r="AB63" s="183"/>
      <c r="AC63" s="152"/>
      <c r="AD63" s="210"/>
      <c r="AE63" s="365"/>
      <c r="AF63" s="365"/>
      <c r="AG63" s="365"/>
      <c r="AH63" s="365"/>
      <c r="AI63" s="425"/>
      <c r="AJ63" s="426"/>
      <c r="AK63" s="426"/>
      <c r="AL63" s="426"/>
      <c r="AM63" s="426"/>
      <c r="AN63" s="426"/>
      <c r="AO63" s="426"/>
      <c r="AP63" s="426"/>
      <c r="AQ63" s="424"/>
      <c r="AR63" s="424"/>
      <c r="AS63" s="424"/>
      <c r="AT63" s="2"/>
      <c r="AU63" s="1"/>
      <c r="AV63" s="1"/>
      <c r="AW63" s="1"/>
      <c r="AX63" s="1"/>
      <c r="AY63" s="1"/>
      <c r="AZ63" s="1"/>
      <c r="BA63" s="1"/>
      <c r="BB63" s="1"/>
      <c r="BC63" s="1"/>
      <c r="BD63" s="1"/>
      <c r="BE63" s="1"/>
      <c r="BF63" s="1"/>
    </row>
    <row r="64" spans="1:58" s="12" customFormat="1" ht="12" customHeight="1">
      <c r="A64" s="529"/>
      <c r="B64" s="529"/>
      <c r="C64" s="529"/>
      <c r="D64" s="529"/>
      <c r="E64" s="529"/>
      <c r="F64" s="529"/>
      <c r="G64" s="529"/>
      <c r="H64" s="529"/>
      <c r="I64" s="529"/>
      <c r="J64" s="529"/>
      <c r="K64" s="204"/>
      <c r="L64" s="204"/>
      <c r="M64" s="397"/>
      <c r="N64" s="397"/>
      <c r="O64" s="204"/>
      <c r="P64" s="373"/>
      <c r="Q64" s="373"/>
      <c r="R64" s="373"/>
      <c r="S64" s="373"/>
      <c r="T64" s="462"/>
      <c r="U64" s="463"/>
      <c r="V64" s="464"/>
      <c r="W64" s="465"/>
      <c r="X64" s="466"/>
      <c r="Y64" s="373"/>
      <c r="Z64" s="445"/>
      <c r="AA64" s="400"/>
      <c r="AB64" s="183"/>
      <c r="AC64" s="152"/>
      <c r="AD64" s="210"/>
      <c r="AE64" s="365"/>
      <c r="AF64" s="365"/>
      <c r="AG64" s="365"/>
      <c r="AH64" s="365"/>
      <c r="AI64" s="425"/>
      <c r="AJ64" s="426"/>
      <c r="AK64" s="426"/>
      <c r="AL64" s="426"/>
      <c r="AM64" s="426"/>
      <c r="AN64" s="426"/>
      <c r="AO64" s="426"/>
      <c r="AP64" s="426"/>
      <c r="AQ64" s="424"/>
      <c r="AR64" s="424"/>
      <c r="AS64" s="424"/>
      <c r="AT64" s="2"/>
      <c r="AU64" s="1"/>
      <c r="AV64" s="1"/>
      <c r="AW64" s="1"/>
      <c r="AX64" s="1"/>
      <c r="AY64" s="1"/>
      <c r="AZ64" s="1"/>
      <c r="BA64" s="1"/>
      <c r="BB64" s="1"/>
      <c r="BC64" s="1"/>
      <c r="BD64" s="1"/>
      <c r="BE64" s="1"/>
      <c r="BF64" s="1"/>
    </row>
    <row r="65" spans="1:58" s="12" customFormat="1" ht="12" customHeight="1">
      <c r="A65" s="529"/>
      <c r="B65" s="529"/>
      <c r="C65" s="529"/>
      <c r="D65" s="529"/>
      <c r="E65" s="529"/>
      <c r="F65" s="529"/>
      <c r="G65" s="529"/>
      <c r="H65" s="529"/>
      <c r="I65" s="529"/>
      <c r="J65" s="529"/>
      <c r="K65" s="204"/>
      <c r="L65" s="204"/>
      <c r="M65" s="397"/>
      <c r="N65" s="397"/>
      <c r="O65" s="204"/>
      <c r="P65" s="373"/>
      <c r="Q65" s="373"/>
      <c r="R65" s="373"/>
      <c r="S65" s="373"/>
      <c r="T65" s="462"/>
      <c r="U65" s="463"/>
      <c r="V65" s="464"/>
      <c r="W65" s="465"/>
      <c r="X65" s="466"/>
      <c r="Y65" s="373"/>
      <c r="Z65" s="445"/>
      <c r="AA65" s="400"/>
      <c r="AB65" s="183"/>
      <c r="AC65" s="152"/>
      <c r="AD65" s="210"/>
      <c r="AE65" s="365"/>
      <c r="AF65" s="365"/>
      <c r="AG65" s="365"/>
      <c r="AH65" s="365"/>
      <c r="AI65" s="420"/>
      <c r="AN65" s="426"/>
      <c r="AO65" s="426"/>
      <c r="AP65" s="426"/>
      <c r="AQ65" s="424"/>
      <c r="AR65" s="424"/>
      <c r="AS65" s="424"/>
      <c r="AT65" s="2"/>
      <c r="AU65" s="1"/>
      <c r="AV65" s="1"/>
      <c r="AW65" s="1"/>
      <c r="AX65" s="1"/>
      <c r="AY65" s="1"/>
      <c r="AZ65" s="1"/>
      <c r="BA65" s="1"/>
      <c r="BB65" s="1"/>
      <c r="BC65" s="1"/>
      <c r="BD65" s="1"/>
      <c r="BE65" s="1"/>
      <c r="BF65" s="1"/>
    </row>
    <row r="66" spans="1:58" s="12" customFormat="1" ht="12" customHeight="1">
      <c r="A66" s="490"/>
      <c r="B66" s="204"/>
      <c r="C66" s="204"/>
      <c r="D66" s="204"/>
      <c r="E66" s="204"/>
      <c r="F66" s="204"/>
      <c r="G66" s="204"/>
      <c r="H66" s="204"/>
      <c r="I66" s="204"/>
      <c r="J66" s="204"/>
      <c r="K66" s="204"/>
      <c r="L66" s="204"/>
      <c r="M66" s="397"/>
      <c r="N66" s="397"/>
      <c r="O66" s="204"/>
      <c r="P66" s="373"/>
      <c r="Q66" s="373"/>
      <c r="R66" s="373"/>
      <c r="S66" s="373"/>
      <c r="T66" s="462"/>
      <c r="U66" s="463"/>
      <c r="V66" s="464"/>
      <c r="W66" s="465"/>
      <c r="X66" s="466"/>
      <c r="Y66" s="373"/>
      <c r="Z66" s="445"/>
      <c r="AA66" s="400"/>
      <c r="AB66" s="183"/>
      <c r="AC66" s="152"/>
      <c r="AD66" s="210"/>
      <c r="AE66" s="365"/>
      <c r="AF66" s="365"/>
      <c r="AG66" s="365"/>
      <c r="AH66" s="365"/>
      <c r="AI66" s="425"/>
      <c r="AJ66" s="426"/>
      <c r="AK66" s="426"/>
      <c r="AL66" s="426"/>
      <c r="AM66" s="426"/>
      <c r="AN66" s="426"/>
      <c r="AO66" s="426"/>
      <c r="AP66" s="426"/>
      <c r="AQ66" s="424"/>
      <c r="AR66" s="424"/>
      <c r="AS66" s="424"/>
      <c r="AT66" s="2"/>
      <c r="AU66" s="1"/>
      <c r="AV66" s="1"/>
      <c r="AW66" s="1"/>
      <c r="AX66" s="1"/>
      <c r="AY66" s="1"/>
      <c r="AZ66" s="1"/>
      <c r="BA66" s="1"/>
      <c r="BB66" s="1"/>
      <c r="BC66" s="1"/>
      <c r="BD66" s="1"/>
      <c r="BE66" s="1"/>
      <c r="BF66" s="1"/>
    </row>
    <row r="67" spans="2:58" s="12" customFormat="1" ht="12" customHeight="1">
      <c r="B67" s="204"/>
      <c r="C67" s="204"/>
      <c r="D67" s="204"/>
      <c r="E67" s="204"/>
      <c r="F67" s="204"/>
      <c r="G67" s="204"/>
      <c r="H67" s="204"/>
      <c r="I67" s="204"/>
      <c r="J67" s="204"/>
      <c r="K67" s="204"/>
      <c r="L67" s="204"/>
      <c r="M67" s="397"/>
      <c r="N67" s="397"/>
      <c r="O67" s="204"/>
      <c r="P67" s="373"/>
      <c r="Q67" s="373"/>
      <c r="R67" s="373"/>
      <c r="S67" s="373"/>
      <c r="T67" s="373"/>
      <c r="U67" s="373"/>
      <c r="V67" s="373"/>
      <c r="W67" s="373"/>
      <c r="X67" s="373"/>
      <c r="Y67" s="373"/>
      <c r="Z67" s="445"/>
      <c r="AA67" s="400"/>
      <c r="AB67" s="183"/>
      <c r="AC67" s="152"/>
      <c r="AD67" s="210"/>
      <c r="AE67" s="365"/>
      <c r="AF67" s="365"/>
      <c r="AG67" s="365"/>
      <c r="AH67" s="365"/>
      <c r="AI67" s="425"/>
      <c r="AJ67" s="426"/>
      <c r="AK67" s="426"/>
      <c r="AL67" s="426"/>
      <c r="AM67" s="426"/>
      <c r="AN67" s="426"/>
      <c r="AO67" s="426"/>
      <c r="AP67" s="426"/>
      <c r="AQ67" s="424"/>
      <c r="AR67" s="424"/>
      <c r="AS67" s="424"/>
      <c r="AT67" s="2"/>
      <c r="AU67" s="1"/>
      <c r="AV67" s="1"/>
      <c r="AW67" s="1"/>
      <c r="AX67" s="1"/>
      <c r="AY67" s="1"/>
      <c r="AZ67" s="1"/>
      <c r="BA67" s="1"/>
      <c r="BB67" s="1"/>
      <c r="BC67" s="1"/>
      <c r="BD67" s="1"/>
      <c r="BE67" s="1"/>
      <c r="BF67" s="1"/>
    </row>
    <row r="68" spans="2:58" s="12" customFormat="1" ht="12" customHeight="1">
      <c r="B68" s="204"/>
      <c r="C68" s="204"/>
      <c r="D68" s="204"/>
      <c r="E68" s="204"/>
      <c r="F68" s="204"/>
      <c r="G68" s="204"/>
      <c r="H68" s="204"/>
      <c r="I68" s="204"/>
      <c r="J68" s="204"/>
      <c r="K68" s="204"/>
      <c r="L68" s="204"/>
      <c r="M68" s="204"/>
      <c r="N68" s="468" t="s">
        <v>674</v>
      </c>
      <c r="O68" s="469"/>
      <c r="P68" s="470"/>
      <c r="Q68" s="470"/>
      <c r="R68" s="470"/>
      <c r="S68" s="470"/>
      <c r="T68" s="470"/>
      <c r="U68" s="470"/>
      <c r="V68" s="470"/>
      <c r="W68" s="470"/>
      <c r="X68" s="470"/>
      <c r="Y68" s="470"/>
      <c r="Z68" s="471"/>
      <c r="AA68" s="400"/>
      <c r="AB68" s="183"/>
      <c r="AC68" s="152"/>
      <c r="AD68" s="210"/>
      <c r="AE68" s="365"/>
      <c r="AF68" s="365"/>
      <c r="AG68" s="365"/>
      <c r="AH68" s="365"/>
      <c r="AI68" s="420"/>
      <c r="AN68" s="426"/>
      <c r="AO68" s="426"/>
      <c r="AP68" s="426"/>
      <c r="AQ68" s="424"/>
      <c r="AR68" s="424"/>
      <c r="AS68" s="424"/>
      <c r="AT68" s="2"/>
      <c r="AU68" s="1"/>
      <c r="AV68" s="1"/>
      <c r="AW68" s="1"/>
      <c r="AX68" s="1"/>
      <c r="AY68" s="1"/>
      <c r="AZ68" s="1"/>
      <c r="BA68" s="1"/>
      <c r="BB68" s="1"/>
      <c r="BC68" s="1"/>
      <c r="BD68" s="1"/>
      <c r="BE68" s="1"/>
      <c r="BF68" s="1"/>
    </row>
    <row r="69" spans="10:58" s="12" customFormat="1" ht="12" customHeight="1">
      <c r="J69" s="204"/>
      <c r="K69" s="204"/>
      <c r="L69" s="204"/>
      <c r="M69" s="204"/>
      <c r="N69" s="397"/>
      <c r="O69" s="204"/>
      <c r="P69" s="373"/>
      <c r="Q69" s="373"/>
      <c r="R69" s="373"/>
      <c r="S69" s="373"/>
      <c r="T69" s="373"/>
      <c r="U69" s="373"/>
      <c r="V69" s="373"/>
      <c r="W69" s="373"/>
      <c r="X69" s="373"/>
      <c r="Y69" s="373"/>
      <c r="Z69" s="445"/>
      <c r="AA69" s="400"/>
      <c r="AB69" s="183"/>
      <c r="AC69" s="152"/>
      <c r="AD69" s="210"/>
      <c r="AE69" s="365"/>
      <c r="AF69" s="365"/>
      <c r="AG69" s="365"/>
      <c r="AH69" s="365"/>
      <c r="AI69" s="425"/>
      <c r="AJ69" s="426"/>
      <c r="AK69" s="426"/>
      <c r="AL69" s="426"/>
      <c r="AM69" s="426"/>
      <c r="AN69" s="426"/>
      <c r="AO69" s="426"/>
      <c r="AP69" s="426"/>
      <c r="AQ69" s="424"/>
      <c r="AR69" s="424"/>
      <c r="AS69" s="424"/>
      <c r="AT69" s="2"/>
      <c r="AU69" s="1"/>
      <c r="AV69" s="1"/>
      <c r="AW69" s="1"/>
      <c r="AX69" s="1"/>
      <c r="AY69" s="1"/>
      <c r="AZ69" s="1"/>
      <c r="BA69" s="1"/>
      <c r="BB69" s="1"/>
      <c r="BC69" s="1"/>
      <c r="BD69" s="1"/>
      <c r="BE69" s="1"/>
      <c r="BF69" s="1"/>
    </row>
    <row r="70" spans="1:58" s="12" customFormat="1" ht="14.25" customHeight="1">
      <c r="A70" s="10" t="s">
        <v>2</v>
      </c>
      <c r="B70" s="204"/>
      <c r="C70" s="11"/>
      <c r="D70" s="204"/>
      <c r="E70" s="204"/>
      <c r="F70" s="204"/>
      <c r="G70" s="204"/>
      <c r="H70" s="204"/>
      <c r="I70" s="204"/>
      <c r="M70" s="205"/>
      <c r="N70" s="396"/>
      <c r="O70" s="205"/>
      <c r="P70" s="373"/>
      <c r="Q70" s="373"/>
      <c r="R70" s="373"/>
      <c r="S70" s="373"/>
      <c r="T70" s="373"/>
      <c r="U70" s="373"/>
      <c r="V70" s="373"/>
      <c r="W70" s="373"/>
      <c r="X70" s="373"/>
      <c r="Y70" s="373"/>
      <c r="Z70" s="445"/>
      <c r="AA70" s="400"/>
      <c r="AB70" s="210"/>
      <c r="AC70" s="152"/>
      <c r="AD70" s="210"/>
      <c r="AE70" s="365"/>
      <c r="AF70" s="365"/>
      <c r="AG70" s="365"/>
      <c r="AH70" s="365"/>
      <c r="AI70" s="420"/>
      <c r="AN70" s="426"/>
      <c r="AO70" s="426"/>
      <c r="AP70" s="426"/>
      <c r="AQ70" s="424"/>
      <c r="AR70" s="424"/>
      <c r="AS70" s="424"/>
      <c r="AT70" s="2"/>
      <c r="AU70" s="1"/>
      <c r="AV70" s="1"/>
      <c r="AW70" s="1"/>
      <c r="AX70" s="1"/>
      <c r="AY70" s="1"/>
      <c r="AZ70" s="1"/>
      <c r="BA70" s="1"/>
      <c r="BB70" s="1"/>
      <c r="BC70" s="1"/>
      <c r="BD70" s="1"/>
      <c r="BE70" s="1"/>
      <c r="BF70" s="1"/>
    </row>
    <row r="71" spans="3:58" s="12" customFormat="1" ht="12" customHeight="1">
      <c r="C71" s="180"/>
      <c r="D71" s="348"/>
      <c r="M71" s="331"/>
      <c r="N71" s="333"/>
      <c r="O71" s="34"/>
      <c r="P71" s="378"/>
      <c r="Q71" s="378"/>
      <c r="R71" s="378"/>
      <c r="S71" s="378"/>
      <c r="T71" s="378"/>
      <c r="U71" s="378"/>
      <c r="V71" s="378"/>
      <c r="W71" s="378"/>
      <c r="X71" s="378"/>
      <c r="Y71" s="378"/>
      <c r="Z71" s="446"/>
      <c r="AA71" s="401"/>
      <c r="AB71" s="210"/>
      <c r="AC71" s="152"/>
      <c r="AD71" s="210"/>
      <c r="AE71" s="365"/>
      <c r="AF71" s="365"/>
      <c r="AG71" s="365"/>
      <c r="AH71" s="365"/>
      <c r="AI71" s="425"/>
      <c r="AJ71" s="426"/>
      <c r="AK71" s="426"/>
      <c r="AL71" s="426"/>
      <c r="AM71" s="426"/>
      <c r="AN71" s="426"/>
      <c r="AO71" s="426"/>
      <c r="AP71" s="426"/>
      <c r="AQ71" s="424"/>
      <c r="AR71" s="424"/>
      <c r="AS71" s="424"/>
      <c r="AT71" s="2"/>
      <c r="AU71" s="1"/>
      <c r="AV71" s="1"/>
      <c r="AW71" s="1"/>
      <c r="AX71" s="1"/>
      <c r="AY71" s="1"/>
      <c r="AZ71" s="1"/>
      <c r="BA71" s="1"/>
      <c r="BB71" s="1"/>
      <c r="BC71" s="1"/>
      <c r="BD71" s="1"/>
      <c r="BE71" s="1"/>
      <c r="BF71" s="1"/>
    </row>
    <row r="72" spans="1:58" s="12" customFormat="1" ht="13.5">
      <c r="A72" s="336" t="s">
        <v>655</v>
      </c>
      <c r="B72" s="497" t="s">
        <v>631</v>
      </c>
      <c r="C72" s="497"/>
      <c r="D72" s="497"/>
      <c r="E72" s="497"/>
      <c r="F72" s="497"/>
      <c r="G72" s="497"/>
      <c r="H72" s="497"/>
      <c r="I72" s="497"/>
      <c r="J72" s="497"/>
      <c r="K72" s="497"/>
      <c r="L72" s="497"/>
      <c r="M72" s="331"/>
      <c r="N72" s="333"/>
      <c r="O72" s="34"/>
      <c r="P72" s="378"/>
      <c r="Q72" s="378"/>
      <c r="R72" s="378"/>
      <c r="S72" s="378"/>
      <c r="T72" s="378"/>
      <c r="U72" s="378"/>
      <c r="V72" s="378"/>
      <c r="W72" s="378"/>
      <c r="X72" s="378"/>
      <c r="Y72" s="378"/>
      <c r="Z72" s="446"/>
      <c r="AA72" s="401"/>
      <c r="AB72" s="210"/>
      <c r="AC72" s="152"/>
      <c r="AD72" s="210"/>
      <c r="AE72" s="365"/>
      <c r="AF72" s="365"/>
      <c r="AG72" s="365"/>
      <c r="AH72" s="365"/>
      <c r="AI72" s="425"/>
      <c r="AJ72" s="426"/>
      <c r="AK72" s="426"/>
      <c r="AL72" s="426"/>
      <c r="AM72" s="426"/>
      <c r="AN72" s="426"/>
      <c r="AO72" s="426"/>
      <c r="AP72" s="426"/>
      <c r="AQ72" s="424"/>
      <c r="AR72" s="424"/>
      <c r="AS72" s="424"/>
      <c r="AT72" s="2"/>
      <c r="AU72" s="1"/>
      <c r="AV72" s="1"/>
      <c r="AW72" s="1"/>
      <c r="AX72" s="1"/>
      <c r="AY72" s="1"/>
      <c r="AZ72" s="1"/>
      <c r="BA72" s="1"/>
      <c r="BB72" s="1"/>
      <c r="BC72" s="1"/>
      <c r="BD72" s="1"/>
      <c r="BE72" s="1"/>
      <c r="BF72" s="1"/>
    </row>
    <row r="73" spans="1:58" s="12" customFormat="1" ht="13.5">
      <c r="A73" s="335"/>
      <c r="B73" s="337" t="s">
        <v>630</v>
      </c>
      <c r="C73" s="338"/>
      <c r="D73" s="338"/>
      <c r="E73" s="338"/>
      <c r="F73" s="338"/>
      <c r="G73" s="338"/>
      <c r="H73" s="338"/>
      <c r="I73" s="338"/>
      <c r="J73" s="338"/>
      <c r="K73" s="338"/>
      <c r="L73" s="338"/>
      <c r="M73" s="332"/>
      <c r="N73" s="333"/>
      <c r="O73" s="34"/>
      <c r="P73" s="378"/>
      <c r="Q73" s="378"/>
      <c r="R73" s="378"/>
      <c r="S73" s="378"/>
      <c r="T73" s="378"/>
      <c r="U73" s="378"/>
      <c r="V73" s="378"/>
      <c r="W73" s="378"/>
      <c r="X73" s="378"/>
      <c r="Y73" s="378"/>
      <c r="Z73" s="446"/>
      <c r="AA73" s="401"/>
      <c r="AB73" s="210"/>
      <c r="AC73" s="152"/>
      <c r="AD73" s="210"/>
      <c r="AE73" s="365"/>
      <c r="AF73" s="365"/>
      <c r="AG73" s="365"/>
      <c r="AH73" s="365"/>
      <c r="AI73" s="425"/>
      <c r="AJ73" s="426"/>
      <c r="AK73" s="426"/>
      <c r="AL73" s="426"/>
      <c r="AM73" s="426"/>
      <c r="AN73" s="426"/>
      <c r="AO73" s="426"/>
      <c r="AP73" s="426"/>
      <c r="AQ73" s="424"/>
      <c r="AR73" s="424"/>
      <c r="AS73" s="424"/>
      <c r="AT73" s="2"/>
      <c r="AU73" s="1"/>
      <c r="AV73" s="1"/>
      <c r="AW73" s="1"/>
      <c r="AX73" s="1"/>
      <c r="AY73" s="1"/>
      <c r="AZ73" s="1"/>
      <c r="BA73" s="1"/>
      <c r="BB73" s="1"/>
      <c r="BC73" s="1"/>
      <c r="BD73" s="1"/>
      <c r="BE73" s="1"/>
      <c r="BF73" s="1"/>
    </row>
    <row r="74" spans="1:58" s="12" customFormat="1" ht="13.5">
      <c r="A74" s="335"/>
      <c r="B74" s="337" t="s">
        <v>632</v>
      </c>
      <c r="C74" s="338"/>
      <c r="D74" s="338"/>
      <c r="E74" s="338"/>
      <c r="F74" s="338"/>
      <c r="G74" s="338"/>
      <c r="H74" s="338"/>
      <c r="I74" s="338"/>
      <c r="J74" s="338"/>
      <c r="K74" s="338"/>
      <c r="L74" s="338"/>
      <c r="M74" s="331"/>
      <c r="N74" s="333"/>
      <c r="O74" s="34"/>
      <c r="P74" s="378"/>
      <c r="Q74" s="378"/>
      <c r="R74" s="378"/>
      <c r="S74" s="378"/>
      <c r="T74" s="378"/>
      <c r="U74" s="378"/>
      <c r="V74" s="378"/>
      <c r="W74" s="378"/>
      <c r="X74" s="378"/>
      <c r="Y74" s="378"/>
      <c r="Z74" s="446"/>
      <c r="AA74" s="401"/>
      <c r="AB74" s="210"/>
      <c r="AC74" s="152"/>
      <c r="AD74" s="210"/>
      <c r="AE74" s="365"/>
      <c r="AF74" s="365"/>
      <c r="AG74" s="365"/>
      <c r="AH74" s="365"/>
      <c r="AI74" s="420"/>
      <c r="AN74" s="426"/>
      <c r="AO74" s="426"/>
      <c r="AP74" s="426"/>
      <c r="AQ74" s="424"/>
      <c r="AR74" s="424"/>
      <c r="AS74" s="424"/>
      <c r="AT74" s="2"/>
      <c r="AU74" s="1"/>
      <c r="AV74" s="1"/>
      <c r="AW74" s="1"/>
      <c r="AX74" s="1"/>
      <c r="AY74" s="1"/>
      <c r="AZ74" s="1"/>
      <c r="BA74" s="1"/>
      <c r="BB74" s="1"/>
      <c r="BC74" s="1"/>
      <c r="BD74" s="1"/>
      <c r="BE74" s="1"/>
      <c r="BF74" s="1"/>
    </row>
    <row r="75" spans="1:58" s="12" customFormat="1" ht="13.5">
      <c r="A75" s="335"/>
      <c r="B75" s="337" t="s">
        <v>654</v>
      </c>
      <c r="C75" s="338"/>
      <c r="D75" s="338"/>
      <c r="E75" s="338"/>
      <c r="F75" s="338"/>
      <c r="G75" s="338"/>
      <c r="H75" s="338"/>
      <c r="I75" s="338"/>
      <c r="J75" s="338"/>
      <c r="K75" s="338"/>
      <c r="L75" s="338"/>
      <c r="M75" s="333"/>
      <c r="N75" s="333"/>
      <c r="O75" s="34"/>
      <c r="P75" s="378"/>
      <c r="Q75" s="378"/>
      <c r="R75" s="378"/>
      <c r="S75" s="378"/>
      <c r="T75" s="378"/>
      <c r="U75" s="378"/>
      <c r="V75" s="378"/>
      <c r="W75" s="378"/>
      <c r="X75" s="378"/>
      <c r="Y75" s="378"/>
      <c r="Z75" s="446"/>
      <c r="AA75" s="401"/>
      <c r="AB75" s="210"/>
      <c r="AC75" s="152"/>
      <c r="AD75" s="210"/>
      <c r="AE75" s="365"/>
      <c r="AF75" s="365"/>
      <c r="AG75" s="365"/>
      <c r="AH75" s="365"/>
      <c r="AI75" s="420"/>
      <c r="AN75" s="426"/>
      <c r="AO75" s="426"/>
      <c r="AP75" s="426"/>
      <c r="AQ75" s="424"/>
      <c r="AR75" s="424"/>
      <c r="AS75" s="424"/>
      <c r="AT75" s="2"/>
      <c r="AU75" s="1"/>
      <c r="AV75" s="1"/>
      <c r="AW75" s="1"/>
      <c r="AX75" s="1"/>
      <c r="AY75" s="1"/>
      <c r="AZ75" s="1"/>
      <c r="BA75" s="1"/>
      <c r="BB75" s="1"/>
      <c r="BC75" s="1"/>
      <c r="BD75" s="1"/>
      <c r="BE75" s="1"/>
      <c r="BF75" s="1"/>
    </row>
    <row r="76" spans="1:58" s="12" customFormat="1" ht="13.5">
      <c r="A76" s="335"/>
      <c r="B76" s="337" t="s">
        <v>660</v>
      </c>
      <c r="C76" s="338"/>
      <c r="D76" s="338"/>
      <c r="E76" s="338"/>
      <c r="F76" s="338"/>
      <c r="G76" s="338"/>
      <c r="H76" s="338"/>
      <c r="I76" s="338"/>
      <c r="J76" s="338"/>
      <c r="K76" s="338"/>
      <c r="L76" s="338"/>
      <c r="M76" s="331"/>
      <c r="N76" s="333"/>
      <c r="O76" s="34"/>
      <c r="P76" s="378"/>
      <c r="Q76" s="378"/>
      <c r="R76" s="378"/>
      <c r="S76" s="378"/>
      <c r="T76" s="378"/>
      <c r="U76" s="378"/>
      <c r="V76" s="378"/>
      <c r="W76" s="378"/>
      <c r="X76" s="378"/>
      <c r="Y76" s="378"/>
      <c r="Z76" s="446"/>
      <c r="AA76" s="401"/>
      <c r="AB76" s="210"/>
      <c r="AC76" s="152"/>
      <c r="AD76" s="210"/>
      <c r="AE76" s="365"/>
      <c r="AF76" s="365"/>
      <c r="AG76" s="365"/>
      <c r="AH76" s="365"/>
      <c r="AI76" s="420"/>
      <c r="AN76" s="426"/>
      <c r="AO76" s="426"/>
      <c r="AP76" s="426"/>
      <c r="AQ76" s="424"/>
      <c r="AR76" s="424"/>
      <c r="AS76" s="424"/>
      <c r="AT76" s="2"/>
      <c r="AU76" s="1"/>
      <c r="AV76" s="1"/>
      <c r="AW76" s="1"/>
      <c r="AX76" s="1"/>
      <c r="AY76" s="1"/>
      <c r="AZ76" s="1"/>
      <c r="BA76" s="1"/>
      <c r="BB76" s="1"/>
      <c r="BC76" s="1"/>
      <c r="BD76" s="1"/>
      <c r="BE76" s="1"/>
      <c r="BF76" s="1"/>
    </row>
    <row r="77" spans="1:58" s="12" customFormat="1" ht="13.5">
      <c r="A77" s="335"/>
      <c r="B77" s="337" t="s">
        <v>656</v>
      </c>
      <c r="C77" s="338"/>
      <c r="D77" s="338"/>
      <c r="E77" s="338"/>
      <c r="F77" s="338"/>
      <c r="G77" s="338"/>
      <c r="H77" s="338"/>
      <c r="I77" s="338"/>
      <c r="J77" s="338"/>
      <c r="K77" s="338"/>
      <c r="L77" s="338"/>
      <c r="M77" s="331"/>
      <c r="N77" s="333"/>
      <c r="O77" s="34"/>
      <c r="P77" s="378"/>
      <c r="Q77" s="378"/>
      <c r="R77" s="378"/>
      <c r="S77" s="378"/>
      <c r="T77" s="378"/>
      <c r="U77" s="378"/>
      <c r="V77" s="378"/>
      <c r="W77" s="378"/>
      <c r="X77" s="378"/>
      <c r="Y77" s="378"/>
      <c r="Z77" s="446"/>
      <c r="AA77" s="401"/>
      <c r="AC77" s="61"/>
      <c r="AE77" s="363"/>
      <c r="AF77" s="363"/>
      <c r="AG77" s="363"/>
      <c r="AH77" s="363"/>
      <c r="AI77" s="420"/>
      <c r="AN77" s="426"/>
      <c r="AO77" s="426"/>
      <c r="AP77" s="426"/>
      <c r="AQ77" s="424"/>
      <c r="AR77" s="424"/>
      <c r="AS77" s="424"/>
      <c r="AT77" s="2"/>
      <c r="AU77" s="1"/>
      <c r="AV77" s="1"/>
      <c r="AW77" s="1"/>
      <c r="AX77" s="1"/>
      <c r="AY77" s="1"/>
      <c r="AZ77" s="1"/>
      <c r="BA77" s="1"/>
      <c r="BB77" s="1"/>
      <c r="BC77" s="1"/>
      <c r="BD77" s="1"/>
      <c r="BE77" s="1"/>
      <c r="BF77" s="1"/>
    </row>
    <row r="78" spans="1:58" s="12" customFormat="1" ht="13.5">
      <c r="A78" s="335"/>
      <c r="B78" s="337" t="s">
        <v>681</v>
      </c>
      <c r="C78" s="338"/>
      <c r="D78" s="338"/>
      <c r="E78" s="338"/>
      <c r="F78" s="338"/>
      <c r="G78" s="338"/>
      <c r="H78" s="338"/>
      <c r="I78" s="338"/>
      <c r="J78" s="338"/>
      <c r="K78" s="338"/>
      <c r="L78" s="338"/>
      <c r="M78" s="331"/>
      <c r="N78" s="333"/>
      <c r="O78" s="34"/>
      <c r="P78" s="378"/>
      <c r="Q78" s="378"/>
      <c r="R78" s="378"/>
      <c r="S78" s="378"/>
      <c r="T78" s="378"/>
      <c r="U78" s="378"/>
      <c r="V78" s="378"/>
      <c r="W78" s="378"/>
      <c r="X78" s="378"/>
      <c r="Y78" s="378"/>
      <c r="Z78" s="446"/>
      <c r="AA78" s="401"/>
      <c r="AC78" s="61"/>
      <c r="AE78" s="363"/>
      <c r="AF78" s="363"/>
      <c r="AG78" s="363"/>
      <c r="AH78" s="363"/>
      <c r="AI78" s="420"/>
      <c r="AN78" s="426"/>
      <c r="AO78" s="426"/>
      <c r="AP78" s="426"/>
      <c r="AQ78" s="424"/>
      <c r="AR78" s="424"/>
      <c r="AS78" s="424"/>
      <c r="AT78" s="2"/>
      <c r="AU78" s="1"/>
      <c r="AV78" s="1"/>
      <c r="AW78" s="1"/>
      <c r="AX78" s="1"/>
      <c r="AY78" s="1"/>
      <c r="AZ78" s="1"/>
      <c r="BA78" s="1"/>
      <c r="BB78" s="1"/>
      <c r="BC78" s="1"/>
      <c r="BD78" s="1"/>
      <c r="BE78" s="1"/>
      <c r="BF78" s="1"/>
    </row>
    <row r="79" spans="1:58" s="12" customFormat="1" ht="13.5">
      <c r="A79" s="335"/>
      <c r="B79" s="337"/>
      <c r="C79" s="338"/>
      <c r="D79" s="338"/>
      <c r="E79" s="338"/>
      <c r="F79" s="338"/>
      <c r="G79" s="338"/>
      <c r="H79" s="338"/>
      <c r="I79" s="338"/>
      <c r="J79" s="338"/>
      <c r="K79" s="338"/>
      <c r="L79" s="338"/>
      <c r="M79" s="331"/>
      <c r="N79" s="333"/>
      <c r="O79" s="34"/>
      <c r="P79" s="378"/>
      <c r="Q79" s="378"/>
      <c r="R79" s="378"/>
      <c r="S79" s="378"/>
      <c r="T79" s="378"/>
      <c r="U79" s="378"/>
      <c r="V79" s="378"/>
      <c r="W79" s="378"/>
      <c r="X79" s="378"/>
      <c r="Y79" s="378"/>
      <c r="Z79" s="446"/>
      <c r="AA79" s="401"/>
      <c r="AC79" s="61"/>
      <c r="AE79" s="363"/>
      <c r="AF79" s="363"/>
      <c r="AG79" s="363"/>
      <c r="AH79" s="363"/>
      <c r="AI79" s="420"/>
      <c r="AN79" s="426"/>
      <c r="AO79" s="426"/>
      <c r="AP79" s="426"/>
      <c r="AQ79" s="424"/>
      <c r="AR79" s="424"/>
      <c r="AS79" s="424"/>
      <c r="AT79" s="2"/>
      <c r="AU79" s="1"/>
      <c r="AV79" s="1"/>
      <c r="AW79" s="1"/>
      <c r="AX79" s="1"/>
      <c r="AY79" s="1"/>
      <c r="AZ79" s="1"/>
      <c r="BA79" s="1"/>
      <c r="BB79" s="1"/>
      <c r="BC79" s="1"/>
      <c r="BD79" s="1"/>
      <c r="BE79" s="1"/>
      <c r="BF79" s="1"/>
    </row>
    <row r="80" spans="1:58" s="12" customFormat="1" ht="13.5">
      <c r="A80" s="335"/>
      <c r="B80" s="338"/>
      <c r="C80" s="338"/>
      <c r="D80" s="338"/>
      <c r="E80" s="338"/>
      <c r="F80" s="338"/>
      <c r="G80" s="338"/>
      <c r="H80" s="338"/>
      <c r="I80" s="338"/>
      <c r="J80" s="338"/>
      <c r="K80" s="338"/>
      <c r="L80" s="338"/>
      <c r="M80" s="331"/>
      <c r="N80" s="333"/>
      <c r="O80" s="34"/>
      <c r="P80" s="378"/>
      <c r="Q80" s="378"/>
      <c r="R80" s="378"/>
      <c r="S80" s="378"/>
      <c r="T80" s="378"/>
      <c r="U80" s="378"/>
      <c r="V80" s="378"/>
      <c r="W80" s="378"/>
      <c r="X80" s="378"/>
      <c r="Y80" s="378"/>
      <c r="Z80" s="446"/>
      <c r="AA80" s="401"/>
      <c r="AC80" s="61"/>
      <c r="AE80" s="363"/>
      <c r="AF80" s="363"/>
      <c r="AG80" s="363"/>
      <c r="AH80" s="363"/>
      <c r="AI80" s="420"/>
      <c r="AN80" s="426"/>
      <c r="AO80" s="426"/>
      <c r="AP80" s="426"/>
      <c r="AQ80" s="424"/>
      <c r="AR80" s="424"/>
      <c r="AS80" s="424"/>
      <c r="AT80" s="2"/>
      <c r="AU80" s="1"/>
      <c r="AV80" s="1"/>
      <c r="AW80" s="1"/>
      <c r="AX80" s="1"/>
      <c r="AY80" s="1"/>
      <c r="AZ80" s="1"/>
      <c r="BA80" s="1"/>
      <c r="BB80" s="1"/>
      <c r="BC80" s="1"/>
      <c r="BD80" s="1"/>
      <c r="BE80" s="1"/>
      <c r="BF80" s="1"/>
    </row>
    <row r="81" spans="1:58" s="12" customFormat="1" ht="13.5">
      <c r="A81" s="335"/>
      <c r="B81" s="338"/>
      <c r="C81" s="338"/>
      <c r="D81" s="338"/>
      <c r="E81" s="338"/>
      <c r="F81" s="338"/>
      <c r="G81" s="338"/>
      <c r="H81" s="338"/>
      <c r="I81" s="338"/>
      <c r="J81" s="338"/>
      <c r="K81" s="338"/>
      <c r="L81" s="338"/>
      <c r="M81" s="331"/>
      <c r="N81" s="333"/>
      <c r="O81" s="34"/>
      <c r="P81" s="378"/>
      <c r="Q81" s="378"/>
      <c r="R81" s="378"/>
      <c r="S81" s="378"/>
      <c r="T81" s="378"/>
      <c r="U81" s="378"/>
      <c r="V81" s="378"/>
      <c r="W81" s="378"/>
      <c r="X81" s="378"/>
      <c r="Y81" s="378"/>
      <c r="Z81" s="446"/>
      <c r="AA81" s="401"/>
      <c r="AC81" s="61"/>
      <c r="AE81" s="363"/>
      <c r="AF81" s="363"/>
      <c r="AG81" s="363"/>
      <c r="AH81" s="363"/>
      <c r="AI81" s="420"/>
      <c r="AN81" s="426"/>
      <c r="AO81" s="426"/>
      <c r="AP81" s="426"/>
      <c r="AQ81" s="424"/>
      <c r="AR81" s="424"/>
      <c r="AS81" s="424"/>
      <c r="AT81" s="2"/>
      <c r="AU81" s="1"/>
      <c r="AV81" s="1"/>
      <c r="AW81" s="1"/>
      <c r="AX81" s="1"/>
      <c r="AY81" s="1"/>
      <c r="AZ81" s="1"/>
      <c r="BA81" s="1"/>
      <c r="BB81" s="1"/>
      <c r="BC81" s="1"/>
      <c r="BD81" s="1"/>
      <c r="BE81" s="1"/>
      <c r="BF81" s="1"/>
    </row>
    <row r="82" spans="1:58" s="12" customFormat="1" ht="13.5">
      <c r="A82" s="335"/>
      <c r="B82" s="338"/>
      <c r="C82" s="338"/>
      <c r="D82" s="338"/>
      <c r="E82" s="338"/>
      <c r="F82" s="338"/>
      <c r="G82" s="338"/>
      <c r="H82" s="338"/>
      <c r="I82" s="338"/>
      <c r="J82" s="338"/>
      <c r="K82" s="338"/>
      <c r="L82" s="338"/>
      <c r="M82" s="331"/>
      <c r="N82" s="333"/>
      <c r="O82" s="34"/>
      <c r="P82" s="378"/>
      <c r="Q82" s="378"/>
      <c r="R82" s="378"/>
      <c r="S82" s="378"/>
      <c r="T82" s="378"/>
      <c r="U82" s="378"/>
      <c r="V82" s="378"/>
      <c r="W82" s="378"/>
      <c r="X82" s="378"/>
      <c r="Y82" s="378"/>
      <c r="Z82" s="446"/>
      <c r="AA82" s="401"/>
      <c r="AC82" s="61"/>
      <c r="AE82" s="363"/>
      <c r="AF82" s="363"/>
      <c r="AG82" s="363"/>
      <c r="AH82" s="363"/>
      <c r="AI82" s="420"/>
      <c r="AN82" s="426"/>
      <c r="AO82" s="426"/>
      <c r="AP82" s="426"/>
      <c r="AQ82" s="424"/>
      <c r="AR82" s="424"/>
      <c r="AS82" s="424"/>
      <c r="AT82" s="2"/>
      <c r="AU82" s="1"/>
      <c r="AV82" s="1"/>
      <c r="AW82" s="1"/>
      <c r="AX82" s="1"/>
      <c r="AY82" s="1"/>
      <c r="AZ82" s="1"/>
      <c r="BA82" s="1"/>
      <c r="BB82" s="1"/>
      <c r="BC82" s="1"/>
      <c r="BD82" s="1"/>
      <c r="BE82" s="1"/>
      <c r="BF82" s="1"/>
    </row>
    <row r="83" spans="1:58" s="12" customFormat="1" ht="13.5">
      <c r="A83" s="335"/>
      <c r="B83" s="338"/>
      <c r="C83" s="338"/>
      <c r="D83" s="338"/>
      <c r="E83" s="338"/>
      <c r="F83" s="338"/>
      <c r="G83" s="338"/>
      <c r="H83" s="338"/>
      <c r="I83" s="338"/>
      <c r="J83" s="338"/>
      <c r="K83" s="338"/>
      <c r="L83" s="338"/>
      <c r="M83" s="331"/>
      <c r="N83" s="333"/>
      <c r="O83" s="34"/>
      <c r="P83" s="378"/>
      <c r="Q83" s="378"/>
      <c r="R83" s="378"/>
      <c r="S83" s="378"/>
      <c r="T83" s="378"/>
      <c r="U83" s="378"/>
      <c r="V83" s="378"/>
      <c r="W83" s="378"/>
      <c r="X83" s="378"/>
      <c r="Y83" s="378"/>
      <c r="Z83" s="446"/>
      <c r="AA83" s="401"/>
      <c r="AC83" s="61"/>
      <c r="AE83" s="363"/>
      <c r="AF83" s="363"/>
      <c r="AG83" s="363"/>
      <c r="AH83" s="363"/>
      <c r="AI83" s="420"/>
      <c r="AN83" s="426"/>
      <c r="AO83" s="426"/>
      <c r="AP83" s="426"/>
      <c r="AQ83" s="424"/>
      <c r="AR83" s="424"/>
      <c r="AS83" s="424"/>
      <c r="AT83" s="2"/>
      <c r="AU83" s="1"/>
      <c r="AV83" s="1"/>
      <c r="AW83" s="1"/>
      <c r="AX83" s="1"/>
      <c r="AY83" s="1"/>
      <c r="AZ83" s="1"/>
      <c r="BA83" s="1"/>
      <c r="BB83" s="1"/>
      <c r="BC83" s="1"/>
      <c r="BD83" s="1"/>
      <c r="BE83" s="1"/>
      <c r="BF83" s="1"/>
    </row>
    <row r="84" spans="1:58" s="12" customFormat="1" ht="13.5">
      <c r="A84" s="335"/>
      <c r="B84" s="338"/>
      <c r="C84" s="338"/>
      <c r="D84" s="338"/>
      <c r="E84" s="338"/>
      <c r="F84" s="338"/>
      <c r="G84" s="338"/>
      <c r="H84" s="338"/>
      <c r="I84" s="338"/>
      <c r="J84" s="338"/>
      <c r="K84" s="338"/>
      <c r="L84" s="338"/>
      <c r="M84" s="331"/>
      <c r="N84" s="333"/>
      <c r="P84" s="88"/>
      <c r="Q84" s="88"/>
      <c r="R84" s="88"/>
      <c r="S84" s="88"/>
      <c r="T84" s="88"/>
      <c r="U84" s="88"/>
      <c r="V84" s="88"/>
      <c r="W84" s="88"/>
      <c r="X84" s="88"/>
      <c r="Y84" s="88"/>
      <c r="Z84" s="443"/>
      <c r="AA84" s="329"/>
      <c r="AC84" s="61"/>
      <c r="AE84" s="363"/>
      <c r="AF84" s="363"/>
      <c r="AG84" s="363"/>
      <c r="AH84" s="363"/>
      <c r="AI84" s="420"/>
      <c r="AN84" s="426"/>
      <c r="AO84" s="426"/>
      <c r="AP84" s="426"/>
      <c r="AQ84" s="424"/>
      <c r="AR84" s="424"/>
      <c r="AS84" s="424"/>
      <c r="AT84" s="2"/>
      <c r="AU84" s="1"/>
      <c r="AV84" s="1"/>
      <c r="AW84" s="1"/>
      <c r="AX84" s="1"/>
      <c r="AY84" s="1"/>
      <c r="AZ84" s="1"/>
      <c r="BA84" s="1"/>
      <c r="BB84" s="1"/>
      <c r="BC84" s="1"/>
      <c r="BD84" s="1"/>
      <c r="BE84" s="1"/>
      <c r="BF84" s="1"/>
    </row>
    <row r="85" spans="1:58" s="12" customFormat="1" ht="13.5">
      <c r="A85" s="335"/>
      <c r="B85" s="338"/>
      <c r="C85" s="338"/>
      <c r="D85" s="338"/>
      <c r="E85" s="338"/>
      <c r="F85" s="338"/>
      <c r="G85" s="338"/>
      <c r="H85" s="338"/>
      <c r="I85" s="338"/>
      <c r="J85" s="338"/>
      <c r="K85" s="338"/>
      <c r="L85" s="338"/>
      <c r="M85" s="331"/>
      <c r="N85" s="333"/>
      <c r="P85" s="88"/>
      <c r="Q85" s="88"/>
      <c r="R85" s="88"/>
      <c r="S85" s="88"/>
      <c r="T85" s="88"/>
      <c r="U85" s="88"/>
      <c r="V85" s="88"/>
      <c r="W85" s="88"/>
      <c r="X85" s="88"/>
      <c r="Y85" s="88"/>
      <c r="Z85" s="443"/>
      <c r="AA85" s="329"/>
      <c r="AC85" s="61"/>
      <c r="AE85" s="363"/>
      <c r="AF85" s="363"/>
      <c r="AG85" s="363"/>
      <c r="AH85" s="363"/>
      <c r="AI85" s="420"/>
      <c r="AN85" s="426"/>
      <c r="AO85" s="426"/>
      <c r="AP85" s="426"/>
      <c r="AQ85" s="424"/>
      <c r="AR85" s="424"/>
      <c r="AS85" s="424"/>
      <c r="AT85" s="2"/>
      <c r="AU85" s="1"/>
      <c r="AV85" s="1"/>
      <c r="AW85" s="1"/>
      <c r="AX85" s="1"/>
      <c r="AY85" s="1"/>
      <c r="AZ85" s="1"/>
      <c r="BA85" s="1"/>
      <c r="BB85" s="1"/>
      <c r="BC85" s="1"/>
      <c r="BD85" s="1"/>
      <c r="BE85" s="1"/>
      <c r="BF85" s="1"/>
    </row>
    <row r="86" spans="1:58" s="12" customFormat="1" ht="13.5">
      <c r="A86" s="335"/>
      <c r="B86" s="338"/>
      <c r="C86" s="338"/>
      <c r="D86" s="338"/>
      <c r="E86" s="338"/>
      <c r="F86" s="338"/>
      <c r="G86" s="338"/>
      <c r="H86" s="338"/>
      <c r="I86" s="338"/>
      <c r="J86" s="338"/>
      <c r="K86" s="338"/>
      <c r="L86" s="338"/>
      <c r="M86" s="331"/>
      <c r="N86" s="333"/>
      <c r="P86" s="88"/>
      <c r="Q86" s="88"/>
      <c r="R86" s="88"/>
      <c r="S86" s="88"/>
      <c r="T86" s="88"/>
      <c r="U86" s="88"/>
      <c r="V86" s="88"/>
      <c r="W86" s="88"/>
      <c r="X86" s="88"/>
      <c r="Y86" s="88"/>
      <c r="Z86" s="443"/>
      <c r="AA86" s="329"/>
      <c r="AC86" s="61"/>
      <c r="AE86" s="363"/>
      <c r="AF86" s="363"/>
      <c r="AG86" s="363"/>
      <c r="AH86" s="363"/>
      <c r="AI86" s="420"/>
      <c r="AN86" s="426"/>
      <c r="AO86" s="426"/>
      <c r="AP86" s="426"/>
      <c r="AQ86" s="424"/>
      <c r="AR86" s="424"/>
      <c r="AS86" s="424"/>
      <c r="AT86" s="2"/>
      <c r="AU86" s="1"/>
      <c r="AV86" s="1"/>
      <c r="AW86" s="1"/>
      <c r="AX86" s="1"/>
      <c r="AY86" s="1"/>
      <c r="AZ86" s="1"/>
      <c r="BA86" s="1"/>
      <c r="BB86" s="1"/>
      <c r="BC86" s="1"/>
      <c r="BD86" s="1"/>
      <c r="BE86" s="1"/>
      <c r="BF86" s="1"/>
    </row>
    <row r="87" spans="1:58" s="12" customFormat="1" ht="13.5">
      <c r="A87" s="335"/>
      <c r="B87" s="335"/>
      <c r="C87" s="335"/>
      <c r="D87" s="335"/>
      <c r="E87" s="335"/>
      <c r="F87" s="335"/>
      <c r="G87" s="335"/>
      <c r="H87" s="335"/>
      <c r="I87" s="335"/>
      <c r="J87" s="335"/>
      <c r="K87" s="335"/>
      <c r="L87" s="335"/>
      <c r="M87" s="331"/>
      <c r="N87" s="333"/>
      <c r="P87" s="88"/>
      <c r="Q87" s="88"/>
      <c r="R87" s="88"/>
      <c r="S87" s="88"/>
      <c r="T87" s="88"/>
      <c r="U87" s="88"/>
      <c r="V87" s="88"/>
      <c r="W87" s="88"/>
      <c r="X87" s="88"/>
      <c r="Y87" s="88"/>
      <c r="Z87" s="443"/>
      <c r="AA87" s="329"/>
      <c r="AC87" s="61"/>
      <c r="AE87" s="363"/>
      <c r="AF87" s="363"/>
      <c r="AG87" s="363"/>
      <c r="AH87" s="363"/>
      <c r="AI87" s="420"/>
      <c r="AN87" s="426"/>
      <c r="AO87" s="426"/>
      <c r="AP87" s="426"/>
      <c r="AQ87" s="424"/>
      <c r="AR87" s="424"/>
      <c r="AS87" s="424"/>
      <c r="AT87" s="2"/>
      <c r="AU87" s="1"/>
      <c r="AV87" s="1"/>
      <c r="AW87" s="1"/>
      <c r="AX87" s="1"/>
      <c r="AY87" s="1"/>
      <c r="AZ87" s="1"/>
      <c r="BA87" s="1"/>
      <c r="BB87" s="1"/>
      <c r="BC87" s="1"/>
      <c r="BD87" s="1"/>
      <c r="BE87" s="1"/>
      <c r="BF87" s="1"/>
    </row>
    <row r="88" spans="1:46" ht="13.5">
      <c r="A88" s="335"/>
      <c r="B88" s="335"/>
      <c r="C88" s="335"/>
      <c r="D88" s="335"/>
      <c r="E88" s="335"/>
      <c r="F88" s="335"/>
      <c r="G88" s="335"/>
      <c r="H88" s="335"/>
      <c r="I88" s="335"/>
      <c r="J88" s="335"/>
      <c r="K88" s="335"/>
      <c r="L88" s="335"/>
      <c r="M88" s="334"/>
      <c r="N88" s="404"/>
      <c r="AC88" s="213"/>
      <c r="AN88" s="426"/>
      <c r="AO88" s="426"/>
      <c r="AP88" s="426"/>
      <c r="AQ88" s="424"/>
      <c r="AR88" s="424"/>
      <c r="AS88" s="424"/>
      <c r="AT88" s="2"/>
    </row>
    <row r="89" spans="1:46" ht="13.5">
      <c r="A89" s="335"/>
      <c r="B89" s="335"/>
      <c r="C89" s="335"/>
      <c r="D89" s="335"/>
      <c r="E89" s="335"/>
      <c r="F89" s="335"/>
      <c r="G89" s="335"/>
      <c r="H89" s="335"/>
      <c r="I89" s="335"/>
      <c r="J89" s="335"/>
      <c r="K89" s="335"/>
      <c r="L89" s="335"/>
      <c r="M89" s="334"/>
      <c r="N89" s="404"/>
      <c r="AC89" s="213"/>
      <c r="AN89" s="426"/>
      <c r="AO89" s="426"/>
      <c r="AP89" s="426"/>
      <c r="AQ89" s="424"/>
      <c r="AR89" s="424"/>
      <c r="AS89" s="424"/>
      <c r="AT89" s="2"/>
    </row>
    <row r="90" spans="1:46" ht="13.5">
      <c r="A90" s="335"/>
      <c r="B90" s="335"/>
      <c r="C90" s="335"/>
      <c r="D90" s="335"/>
      <c r="E90" s="335"/>
      <c r="F90" s="335"/>
      <c r="G90" s="335"/>
      <c r="H90" s="335"/>
      <c r="I90" s="335"/>
      <c r="J90" s="335"/>
      <c r="K90" s="335"/>
      <c r="L90" s="335"/>
      <c r="M90" s="334"/>
      <c r="N90" s="404"/>
      <c r="AC90" s="213"/>
      <c r="AN90" s="426"/>
      <c r="AO90" s="426"/>
      <c r="AP90" s="426"/>
      <c r="AQ90" s="424"/>
      <c r="AR90" s="424"/>
      <c r="AS90" s="424"/>
      <c r="AT90" s="2"/>
    </row>
    <row r="91" spans="1:46" ht="13.5">
      <c r="A91" s="335"/>
      <c r="B91" s="335"/>
      <c r="C91" s="335"/>
      <c r="D91" s="335"/>
      <c r="E91" s="335"/>
      <c r="F91" s="335"/>
      <c r="G91" s="335"/>
      <c r="H91" s="335"/>
      <c r="I91" s="335"/>
      <c r="J91" s="335"/>
      <c r="K91" s="335"/>
      <c r="L91" s="335"/>
      <c r="M91" s="334"/>
      <c r="N91" s="404"/>
      <c r="AC91" s="213"/>
      <c r="AN91" s="426"/>
      <c r="AO91" s="426"/>
      <c r="AP91" s="426"/>
      <c r="AQ91" s="424"/>
      <c r="AR91" s="424"/>
      <c r="AS91" s="424"/>
      <c r="AT91" s="2"/>
    </row>
    <row r="92" spans="1:46" ht="13.5">
      <c r="A92" s="335"/>
      <c r="B92" s="335"/>
      <c r="C92" s="335"/>
      <c r="D92" s="335"/>
      <c r="E92" s="335"/>
      <c r="F92" s="335"/>
      <c r="G92" s="335"/>
      <c r="H92" s="335"/>
      <c r="I92" s="335"/>
      <c r="J92" s="335"/>
      <c r="K92" s="335"/>
      <c r="L92" s="335"/>
      <c r="M92" s="334"/>
      <c r="N92" s="404"/>
      <c r="AC92" s="213"/>
      <c r="AN92" s="426"/>
      <c r="AO92" s="426"/>
      <c r="AP92" s="426"/>
      <c r="AQ92" s="424"/>
      <c r="AR92" s="424"/>
      <c r="AS92" s="424"/>
      <c r="AT92" s="2"/>
    </row>
    <row r="93" spans="1:46" ht="13.5">
      <c r="A93" s="335"/>
      <c r="B93" s="335"/>
      <c r="C93" s="335"/>
      <c r="D93" s="335"/>
      <c r="E93" s="335"/>
      <c r="F93" s="335"/>
      <c r="G93" s="335"/>
      <c r="H93" s="335"/>
      <c r="I93" s="335"/>
      <c r="J93" s="335"/>
      <c r="K93" s="335"/>
      <c r="L93" s="335"/>
      <c r="M93" s="334"/>
      <c r="N93" s="404"/>
      <c r="AC93" s="213"/>
      <c r="AN93" s="426"/>
      <c r="AO93" s="426"/>
      <c r="AP93" s="426"/>
      <c r="AQ93" s="424"/>
      <c r="AR93" s="424"/>
      <c r="AS93" s="424"/>
      <c r="AT93" s="2"/>
    </row>
    <row r="94" spans="1:58" s="126" customFormat="1" ht="13.5">
      <c r="A94" s="335"/>
      <c r="B94" s="335"/>
      <c r="C94" s="335"/>
      <c r="D94" s="335"/>
      <c r="E94" s="335"/>
      <c r="F94" s="335"/>
      <c r="G94" s="335"/>
      <c r="H94" s="335"/>
      <c r="I94" s="335"/>
      <c r="J94" s="335"/>
      <c r="K94" s="335"/>
      <c r="L94" s="335"/>
      <c r="M94" s="334"/>
      <c r="N94" s="404"/>
      <c r="P94" s="378"/>
      <c r="Q94" s="378"/>
      <c r="R94" s="378"/>
      <c r="S94" s="378"/>
      <c r="T94" s="378"/>
      <c r="U94" s="378"/>
      <c r="V94" s="378"/>
      <c r="W94" s="378"/>
      <c r="X94" s="378"/>
      <c r="Y94" s="378"/>
      <c r="Z94" s="446"/>
      <c r="AA94" s="402"/>
      <c r="AC94" s="214"/>
      <c r="AE94" s="363"/>
      <c r="AF94" s="363"/>
      <c r="AG94" s="363"/>
      <c r="AH94" s="363"/>
      <c r="AI94" s="421"/>
      <c r="AN94" s="426"/>
      <c r="AO94" s="426"/>
      <c r="AP94" s="426"/>
      <c r="AQ94" s="424"/>
      <c r="AR94" s="424"/>
      <c r="AS94" s="424"/>
      <c r="AT94" s="2"/>
      <c r="AU94" s="1"/>
      <c r="AV94" s="1"/>
      <c r="AW94" s="1"/>
      <c r="AX94" s="1"/>
      <c r="AY94" s="1"/>
      <c r="AZ94" s="1"/>
      <c r="BA94" s="1"/>
      <c r="BB94" s="1"/>
      <c r="BC94" s="1"/>
      <c r="BD94" s="1"/>
      <c r="BE94" s="1"/>
      <c r="BF94" s="1"/>
    </row>
    <row r="95" spans="1:58" s="126" customFormat="1" ht="13.5">
      <c r="A95" s="335"/>
      <c r="B95" s="335"/>
      <c r="C95" s="335"/>
      <c r="D95" s="335"/>
      <c r="E95" s="335"/>
      <c r="F95" s="335"/>
      <c r="G95" s="335"/>
      <c r="H95" s="335"/>
      <c r="I95" s="335"/>
      <c r="J95" s="335"/>
      <c r="K95" s="335"/>
      <c r="L95" s="335"/>
      <c r="M95" s="334"/>
      <c r="N95" s="404"/>
      <c r="P95" s="378"/>
      <c r="Q95" s="378"/>
      <c r="R95" s="378"/>
      <c r="S95" s="378"/>
      <c r="T95" s="378"/>
      <c r="U95" s="378"/>
      <c r="V95" s="378"/>
      <c r="W95" s="378"/>
      <c r="X95" s="378"/>
      <c r="Y95" s="378"/>
      <c r="Z95" s="446"/>
      <c r="AA95" s="402"/>
      <c r="AC95" s="214"/>
      <c r="AE95" s="363"/>
      <c r="AF95" s="363"/>
      <c r="AG95" s="363"/>
      <c r="AH95" s="363"/>
      <c r="AI95" s="421"/>
      <c r="AN95" s="426"/>
      <c r="AO95" s="426"/>
      <c r="AP95" s="426"/>
      <c r="AQ95" s="424"/>
      <c r="AR95" s="424"/>
      <c r="AS95" s="424"/>
      <c r="AT95" s="2"/>
      <c r="AU95" s="1"/>
      <c r="AV95" s="1"/>
      <c r="AW95" s="1"/>
      <c r="AX95" s="1"/>
      <c r="AY95" s="1"/>
      <c r="AZ95" s="1"/>
      <c r="BA95" s="1"/>
      <c r="BB95" s="1"/>
      <c r="BC95" s="1"/>
      <c r="BD95" s="1"/>
      <c r="BE95" s="1"/>
      <c r="BF95" s="1"/>
    </row>
    <row r="96" spans="1:58" s="126" customFormat="1" ht="15.75" customHeight="1">
      <c r="A96" s="335"/>
      <c r="B96" s="335"/>
      <c r="C96" s="335"/>
      <c r="D96" s="335"/>
      <c r="E96" s="335"/>
      <c r="F96" s="335"/>
      <c r="G96" s="335"/>
      <c r="H96" s="335"/>
      <c r="I96" s="335"/>
      <c r="J96" s="335"/>
      <c r="K96" s="335"/>
      <c r="L96" s="335"/>
      <c r="M96" s="334"/>
      <c r="N96" s="404"/>
      <c r="P96" s="378"/>
      <c r="Q96" s="378"/>
      <c r="R96" s="378"/>
      <c r="S96" s="378"/>
      <c r="T96" s="378"/>
      <c r="U96" s="378"/>
      <c r="V96" s="378"/>
      <c r="W96" s="378"/>
      <c r="X96" s="378"/>
      <c r="Y96" s="378"/>
      <c r="Z96" s="446"/>
      <c r="AA96" s="402"/>
      <c r="AC96" s="214"/>
      <c r="AE96" s="363"/>
      <c r="AF96" s="363"/>
      <c r="AG96" s="363"/>
      <c r="AH96" s="363"/>
      <c r="AI96" s="421"/>
      <c r="AN96" s="426"/>
      <c r="AO96" s="426"/>
      <c r="AP96" s="426"/>
      <c r="AQ96" s="424"/>
      <c r="AR96" s="424"/>
      <c r="AS96" s="424"/>
      <c r="AT96" s="2"/>
      <c r="AU96" s="1"/>
      <c r="AV96" s="1"/>
      <c r="AW96" s="1"/>
      <c r="AX96" s="1"/>
      <c r="AY96" s="1"/>
      <c r="AZ96" s="1"/>
      <c r="BA96" s="1"/>
      <c r="BB96" s="1"/>
      <c r="BC96" s="1"/>
      <c r="BD96" s="1"/>
      <c r="BE96" s="1"/>
      <c r="BF96" s="1"/>
    </row>
    <row r="97" spans="1:58" s="34" customFormat="1" ht="13.5">
      <c r="A97" s="335"/>
      <c r="B97" s="335"/>
      <c r="C97" s="335"/>
      <c r="D97" s="335"/>
      <c r="E97" s="335"/>
      <c r="F97" s="335"/>
      <c r="G97" s="335"/>
      <c r="H97" s="335"/>
      <c r="I97" s="335"/>
      <c r="J97" s="335"/>
      <c r="K97" s="335"/>
      <c r="L97" s="335"/>
      <c r="M97" s="331"/>
      <c r="N97" s="333"/>
      <c r="P97" s="378"/>
      <c r="Q97" s="378"/>
      <c r="R97" s="378"/>
      <c r="S97" s="378"/>
      <c r="T97" s="378"/>
      <c r="U97" s="378"/>
      <c r="V97" s="378"/>
      <c r="W97" s="378"/>
      <c r="X97" s="378"/>
      <c r="Y97" s="378"/>
      <c r="Z97" s="446"/>
      <c r="AA97" s="401"/>
      <c r="AC97" s="105"/>
      <c r="AE97" s="363"/>
      <c r="AF97" s="363"/>
      <c r="AG97" s="363"/>
      <c r="AH97" s="363"/>
      <c r="AI97" s="422"/>
      <c r="AN97" s="426"/>
      <c r="AO97" s="426"/>
      <c r="AP97" s="426"/>
      <c r="AQ97" s="424"/>
      <c r="AR97" s="424"/>
      <c r="AS97" s="424"/>
      <c r="AT97" s="2"/>
      <c r="AU97" s="1"/>
      <c r="AV97" s="1"/>
      <c r="AW97" s="1"/>
      <c r="AX97" s="1"/>
      <c r="AY97" s="1"/>
      <c r="AZ97" s="1"/>
      <c r="BA97" s="1"/>
      <c r="BB97" s="1"/>
      <c r="BC97" s="1"/>
      <c r="BD97" s="1"/>
      <c r="BE97" s="1"/>
      <c r="BF97" s="1"/>
    </row>
    <row r="98" spans="1:58" s="34" customFormat="1" ht="13.5">
      <c r="A98" s="335"/>
      <c r="B98" s="335"/>
      <c r="C98" s="335"/>
      <c r="D98" s="335"/>
      <c r="E98" s="335"/>
      <c r="F98" s="335"/>
      <c r="G98" s="335"/>
      <c r="H98" s="335"/>
      <c r="I98" s="335"/>
      <c r="J98" s="335"/>
      <c r="K98" s="335"/>
      <c r="L98" s="335"/>
      <c r="M98" s="331"/>
      <c r="N98" s="333"/>
      <c r="P98" s="378"/>
      <c r="Q98" s="378"/>
      <c r="R98" s="378"/>
      <c r="S98" s="378"/>
      <c r="T98" s="378"/>
      <c r="U98" s="378"/>
      <c r="V98" s="378"/>
      <c r="W98" s="378"/>
      <c r="X98" s="378"/>
      <c r="Y98" s="378"/>
      <c r="Z98" s="446"/>
      <c r="AA98" s="401"/>
      <c r="AC98" s="105"/>
      <c r="AE98" s="363"/>
      <c r="AF98" s="363"/>
      <c r="AG98" s="363"/>
      <c r="AH98" s="363"/>
      <c r="AI98" s="422"/>
      <c r="AN98" s="426"/>
      <c r="AO98" s="426"/>
      <c r="AP98" s="426"/>
      <c r="AQ98" s="424"/>
      <c r="AR98" s="424"/>
      <c r="AS98" s="424"/>
      <c r="AT98" s="2"/>
      <c r="AU98" s="1"/>
      <c r="AV98" s="1"/>
      <c r="AW98" s="1"/>
      <c r="AX98" s="1"/>
      <c r="AY98" s="1"/>
      <c r="AZ98" s="1"/>
      <c r="BA98" s="1"/>
      <c r="BB98" s="1"/>
      <c r="BC98" s="1"/>
      <c r="BD98" s="1"/>
      <c r="BE98" s="1"/>
      <c r="BF98" s="1"/>
    </row>
    <row r="99" spans="1:58" s="34" customFormat="1" ht="13.5">
      <c r="A99" s="335"/>
      <c r="B99" s="335"/>
      <c r="C99" s="335"/>
      <c r="D99" s="335"/>
      <c r="E99" s="335"/>
      <c r="F99" s="335"/>
      <c r="G99" s="335"/>
      <c r="H99" s="335"/>
      <c r="I99" s="335"/>
      <c r="J99" s="335"/>
      <c r="K99" s="335"/>
      <c r="L99" s="335"/>
      <c r="M99" s="331"/>
      <c r="N99" s="333"/>
      <c r="P99" s="378"/>
      <c r="Q99" s="378"/>
      <c r="R99" s="378"/>
      <c r="S99" s="378"/>
      <c r="T99" s="378"/>
      <c r="U99" s="378"/>
      <c r="V99" s="378"/>
      <c r="W99" s="378"/>
      <c r="X99" s="378"/>
      <c r="Y99" s="378"/>
      <c r="Z99" s="446"/>
      <c r="AA99" s="401"/>
      <c r="AC99" s="105"/>
      <c r="AE99" s="363"/>
      <c r="AF99" s="363"/>
      <c r="AG99" s="363"/>
      <c r="AH99" s="363"/>
      <c r="AI99" s="422"/>
      <c r="AN99" s="426"/>
      <c r="AO99" s="426"/>
      <c r="AP99" s="426"/>
      <c r="AQ99" s="424"/>
      <c r="AR99" s="424"/>
      <c r="AS99" s="424"/>
      <c r="AT99" s="2"/>
      <c r="AU99" s="1"/>
      <c r="AV99" s="1"/>
      <c r="AW99" s="1"/>
      <c r="AX99" s="1"/>
      <c r="AY99" s="1"/>
      <c r="AZ99" s="1"/>
      <c r="BA99" s="1"/>
      <c r="BB99" s="1"/>
      <c r="BC99" s="1"/>
      <c r="BD99" s="1"/>
      <c r="BE99" s="1"/>
      <c r="BF99" s="1"/>
    </row>
    <row r="100" spans="1:58" s="34" customFormat="1" ht="13.5">
      <c r="A100" s="335"/>
      <c r="B100" s="335"/>
      <c r="C100" s="335"/>
      <c r="D100" s="335"/>
      <c r="E100" s="335"/>
      <c r="F100" s="335"/>
      <c r="G100" s="335"/>
      <c r="H100" s="335"/>
      <c r="I100" s="335"/>
      <c r="J100" s="335"/>
      <c r="K100" s="335"/>
      <c r="L100" s="335"/>
      <c r="M100" s="331"/>
      <c r="N100" s="333"/>
      <c r="P100" s="378"/>
      <c r="Q100" s="378"/>
      <c r="R100" s="378"/>
      <c r="S100" s="378"/>
      <c r="T100" s="378"/>
      <c r="U100" s="378"/>
      <c r="V100" s="378"/>
      <c r="W100" s="378"/>
      <c r="X100" s="378"/>
      <c r="Y100" s="378"/>
      <c r="Z100" s="446"/>
      <c r="AA100" s="401"/>
      <c r="AC100" s="105"/>
      <c r="AE100" s="363"/>
      <c r="AF100" s="363"/>
      <c r="AG100" s="363"/>
      <c r="AH100" s="363"/>
      <c r="AI100" s="422"/>
      <c r="AN100" s="426"/>
      <c r="AO100" s="426"/>
      <c r="AP100" s="426"/>
      <c r="AQ100" s="424"/>
      <c r="AR100" s="424"/>
      <c r="AS100" s="424"/>
      <c r="AT100" s="2"/>
      <c r="AU100" s="1"/>
      <c r="AV100" s="1"/>
      <c r="AW100" s="1"/>
      <c r="AX100" s="1"/>
      <c r="AY100" s="1"/>
      <c r="AZ100" s="1"/>
      <c r="BA100" s="1"/>
      <c r="BB100" s="1"/>
      <c r="BC100" s="1"/>
      <c r="BD100" s="1"/>
      <c r="BE100" s="1"/>
      <c r="BF100" s="1"/>
    </row>
    <row r="101" spans="1:58" s="34" customFormat="1" ht="13.5">
      <c r="A101" s="335"/>
      <c r="B101" s="335"/>
      <c r="C101" s="335"/>
      <c r="D101" s="335"/>
      <c r="E101" s="335"/>
      <c r="F101" s="335"/>
      <c r="G101" s="335"/>
      <c r="H101" s="335"/>
      <c r="I101" s="335"/>
      <c r="J101" s="335"/>
      <c r="K101" s="335"/>
      <c r="L101" s="335"/>
      <c r="M101" s="331"/>
      <c r="N101" s="333"/>
      <c r="P101" s="378"/>
      <c r="Q101" s="378"/>
      <c r="R101" s="378"/>
      <c r="S101" s="378"/>
      <c r="T101" s="378"/>
      <c r="U101" s="378"/>
      <c r="V101" s="378"/>
      <c r="W101" s="378"/>
      <c r="X101" s="378"/>
      <c r="Y101" s="378"/>
      <c r="Z101" s="446"/>
      <c r="AA101" s="401"/>
      <c r="AC101" s="105"/>
      <c r="AE101" s="363"/>
      <c r="AF101" s="363"/>
      <c r="AG101" s="363"/>
      <c r="AH101" s="363"/>
      <c r="AI101" s="422"/>
      <c r="AN101" s="426"/>
      <c r="AO101" s="426"/>
      <c r="AP101" s="426"/>
      <c r="AQ101" s="424"/>
      <c r="AR101" s="424"/>
      <c r="AS101" s="424"/>
      <c r="AT101" s="2"/>
      <c r="AU101" s="1"/>
      <c r="AV101" s="1"/>
      <c r="AW101" s="1"/>
      <c r="AX101" s="1"/>
      <c r="AY101" s="1"/>
      <c r="AZ101" s="1"/>
      <c r="BA101" s="1"/>
      <c r="BB101" s="1"/>
      <c r="BC101" s="1"/>
      <c r="BD101" s="1"/>
      <c r="BE101" s="1"/>
      <c r="BF101" s="1"/>
    </row>
    <row r="102" spans="1:58" s="34" customFormat="1" ht="13.5">
      <c r="A102" s="335"/>
      <c r="B102" s="335"/>
      <c r="C102" s="335"/>
      <c r="D102" s="335"/>
      <c r="E102" s="335"/>
      <c r="F102" s="335"/>
      <c r="G102" s="335"/>
      <c r="H102" s="335"/>
      <c r="I102" s="335"/>
      <c r="J102" s="335"/>
      <c r="K102" s="335"/>
      <c r="L102" s="335"/>
      <c r="M102" s="331"/>
      <c r="N102" s="333"/>
      <c r="P102" s="378"/>
      <c r="Q102" s="378"/>
      <c r="R102" s="378"/>
      <c r="S102" s="378"/>
      <c r="T102" s="378"/>
      <c r="U102" s="378"/>
      <c r="V102" s="378"/>
      <c r="W102" s="378"/>
      <c r="X102" s="378"/>
      <c r="Y102" s="378"/>
      <c r="Z102" s="446"/>
      <c r="AA102" s="401"/>
      <c r="AC102" s="105"/>
      <c r="AE102" s="363"/>
      <c r="AF102" s="363"/>
      <c r="AG102" s="363"/>
      <c r="AH102" s="363"/>
      <c r="AI102" s="422"/>
      <c r="AN102" s="426"/>
      <c r="AO102" s="426"/>
      <c r="AP102" s="426"/>
      <c r="AQ102" s="424"/>
      <c r="AR102" s="424"/>
      <c r="AS102" s="424"/>
      <c r="AT102" s="2"/>
      <c r="AU102" s="1"/>
      <c r="AV102" s="1"/>
      <c r="AW102" s="1"/>
      <c r="AX102" s="1"/>
      <c r="AY102" s="1"/>
      <c r="AZ102" s="1"/>
      <c r="BA102" s="1"/>
      <c r="BB102" s="1"/>
      <c r="BC102" s="1"/>
      <c r="BD102" s="1"/>
      <c r="BE102" s="1"/>
      <c r="BF102" s="1"/>
    </row>
    <row r="103" spans="1:58" s="34" customFormat="1" ht="12" customHeight="1">
      <c r="A103" s="335"/>
      <c r="B103" s="335"/>
      <c r="C103" s="335"/>
      <c r="D103" s="335"/>
      <c r="E103" s="335"/>
      <c r="F103" s="335"/>
      <c r="G103" s="335"/>
      <c r="H103" s="335"/>
      <c r="I103" s="335"/>
      <c r="J103" s="335"/>
      <c r="K103" s="335"/>
      <c r="L103" s="335"/>
      <c r="M103" s="331"/>
      <c r="N103" s="333"/>
      <c r="P103" s="378"/>
      <c r="Q103" s="378"/>
      <c r="R103" s="378"/>
      <c r="S103" s="378"/>
      <c r="T103" s="378"/>
      <c r="U103" s="378"/>
      <c r="V103" s="378"/>
      <c r="W103" s="378"/>
      <c r="X103" s="378"/>
      <c r="Y103" s="378"/>
      <c r="Z103" s="446"/>
      <c r="AA103" s="401"/>
      <c r="AC103" s="105"/>
      <c r="AE103" s="363"/>
      <c r="AF103" s="363"/>
      <c r="AG103" s="363"/>
      <c r="AH103" s="363"/>
      <c r="AI103" s="422"/>
      <c r="AN103" s="426"/>
      <c r="AO103" s="426"/>
      <c r="AP103" s="426"/>
      <c r="AQ103" s="424"/>
      <c r="AR103" s="424"/>
      <c r="AS103" s="424"/>
      <c r="AT103" s="2"/>
      <c r="AU103" s="1"/>
      <c r="AV103" s="1"/>
      <c r="AW103" s="1"/>
      <c r="AX103" s="1"/>
      <c r="AY103" s="1"/>
      <c r="AZ103" s="1"/>
      <c r="BA103" s="1"/>
      <c r="BB103" s="1"/>
      <c r="BC103" s="1"/>
      <c r="BD103" s="1"/>
      <c r="BE103" s="1"/>
      <c r="BF103" s="1"/>
    </row>
    <row r="104" spans="1:58" s="126" customFormat="1" ht="13.5">
      <c r="A104" s="335"/>
      <c r="B104" s="335"/>
      <c r="C104" s="335"/>
      <c r="D104" s="335"/>
      <c r="E104" s="335"/>
      <c r="F104" s="335"/>
      <c r="G104" s="335"/>
      <c r="H104" s="335"/>
      <c r="I104" s="335"/>
      <c r="J104" s="335"/>
      <c r="K104" s="335"/>
      <c r="L104" s="335"/>
      <c r="M104" s="334"/>
      <c r="N104" s="404"/>
      <c r="P104" s="378"/>
      <c r="Q104" s="378"/>
      <c r="R104" s="378"/>
      <c r="S104" s="378"/>
      <c r="T104" s="378"/>
      <c r="U104" s="378"/>
      <c r="V104" s="378"/>
      <c r="W104" s="378"/>
      <c r="X104" s="378"/>
      <c r="Y104" s="378"/>
      <c r="Z104" s="446"/>
      <c r="AA104" s="402"/>
      <c r="AC104" s="214"/>
      <c r="AE104" s="363"/>
      <c r="AF104" s="363"/>
      <c r="AG104" s="363"/>
      <c r="AH104" s="363"/>
      <c r="AI104" s="421"/>
      <c r="AN104" s="426"/>
      <c r="AO104" s="426"/>
      <c r="AP104" s="426"/>
      <c r="AQ104" s="424"/>
      <c r="AR104" s="424"/>
      <c r="AS104" s="424"/>
      <c r="AT104" s="2"/>
      <c r="AU104" s="1"/>
      <c r="AV104" s="1"/>
      <c r="AW104" s="1"/>
      <c r="AX104" s="1"/>
      <c r="AY104" s="1"/>
      <c r="AZ104" s="1"/>
      <c r="BA104" s="1"/>
      <c r="BB104" s="1"/>
      <c r="BC104" s="1"/>
      <c r="BD104" s="1"/>
      <c r="BE104" s="1"/>
      <c r="BF104" s="1"/>
    </row>
    <row r="105" spans="1:46" ht="13.5">
      <c r="A105" s="335"/>
      <c r="B105" s="335"/>
      <c r="C105" s="335"/>
      <c r="D105" s="335"/>
      <c r="E105" s="335"/>
      <c r="F105" s="335"/>
      <c r="G105" s="335"/>
      <c r="H105" s="335"/>
      <c r="I105" s="335"/>
      <c r="J105" s="335"/>
      <c r="K105" s="335"/>
      <c r="L105" s="335"/>
      <c r="M105" s="334"/>
      <c r="N105" s="404"/>
      <c r="AC105" s="213"/>
      <c r="AN105" s="426"/>
      <c r="AO105" s="426"/>
      <c r="AP105" s="426"/>
      <c r="AQ105" s="424"/>
      <c r="AR105" s="424"/>
      <c r="AS105" s="424"/>
      <c r="AT105" s="2"/>
    </row>
    <row r="106" spans="1:46" ht="13.5">
      <c r="A106" s="335"/>
      <c r="B106" s="335"/>
      <c r="C106" s="335"/>
      <c r="D106" s="335"/>
      <c r="E106" s="335"/>
      <c r="F106" s="335"/>
      <c r="G106" s="335"/>
      <c r="H106" s="335"/>
      <c r="I106" s="335"/>
      <c r="J106" s="335"/>
      <c r="K106" s="335"/>
      <c r="L106" s="335"/>
      <c r="M106" s="334"/>
      <c r="N106" s="404"/>
      <c r="AC106" s="213"/>
      <c r="AN106" s="426"/>
      <c r="AO106" s="426"/>
      <c r="AP106" s="426"/>
      <c r="AQ106" s="424"/>
      <c r="AR106" s="424"/>
      <c r="AS106" s="424"/>
      <c r="AT106" s="2"/>
    </row>
    <row r="107" spans="1:46" ht="13.5">
      <c r="A107" s="335"/>
      <c r="B107" s="335"/>
      <c r="C107" s="335"/>
      <c r="D107" s="335"/>
      <c r="E107" s="335"/>
      <c r="F107" s="335"/>
      <c r="G107" s="335"/>
      <c r="H107" s="335"/>
      <c r="I107" s="335"/>
      <c r="J107" s="335"/>
      <c r="K107" s="335"/>
      <c r="L107" s="335"/>
      <c r="M107" s="334"/>
      <c r="N107" s="404"/>
      <c r="AC107" s="213"/>
      <c r="AN107" s="426"/>
      <c r="AO107" s="426"/>
      <c r="AP107" s="426"/>
      <c r="AQ107" s="424"/>
      <c r="AR107" s="424"/>
      <c r="AS107" s="424"/>
      <c r="AT107" s="2"/>
    </row>
    <row r="108" spans="1:46" ht="13.5">
      <c r="A108" s="335"/>
      <c r="B108" s="335"/>
      <c r="C108" s="335"/>
      <c r="D108" s="335"/>
      <c r="E108" s="335"/>
      <c r="F108" s="335"/>
      <c r="G108" s="335"/>
      <c r="H108" s="335"/>
      <c r="I108" s="335"/>
      <c r="J108" s="335"/>
      <c r="K108" s="335"/>
      <c r="L108" s="335"/>
      <c r="M108" s="334"/>
      <c r="N108" s="404"/>
      <c r="AC108" s="213"/>
      <c r="AN108" s="426"/>
      <c r="AO108" s="426"/>
      <c r="AP108" s="426"/>
      <c r="AQ108" s="424"/>
      <c r="AR108" s="424"/>
      <c r="AS108" s="424"/>
      <c r="AT108" s="2"/>
    </row>
    <row r="109" spans="1:46" ht="13.5">
      <c r="A109" s="335"/>
      <c r="B109" s="335"/>
      <c r="C109" s="335"/>
      <c r="D109" s="335"/>
      <c r="E109" s="335"/>
      <c r="F109" s="335"/>
      <c r="G109" s="335"/>
      <c r="H109" s="335"/>
      <c r="I109" s="335"/>
      <c r="J109" s="335"/>
      <c r="K109" s="335"/>
      <c r="L109" s="335"/>
      <c r="M109" s="334"/>
      <c r="N109" s="404"/>
      <c r="AC109" s="213"/>
      <c r="AN109" s="426"/>
      <c r="AO109" s="426"/>
      <c r="AP109" s="426"/>
      <c r="AQ109" s="424"/>
      <c r="AR109" s="424"/>
      <c r="AS109" s="424"/>
      <c r="AT109" s="2"/>
    </row>
    <row r="110" spans="1:46" ht="13.5">
      <c r="A110" s="335"/>
      <c r="B110" s="335"/>
      <c r="C110" s="335"/>
      <c r="D110" s="335"/>
      <c r="E110" s="335"/>
      <c r="F110" s="335"/>
      <c r="G110" s="335"/>
      <c r="H110" s="335"/>
      <c r="I110" s="335"/>
      <c r="J110" s="335"/>
      <c r="K110" s="335"/>
      <c r="L110" s="335"/>
      <c r="M110" s="334"/>
      <c r="N110" s="404"/>
      <c r="AC110" s="213"/>
      <c r="AN110" s="426"/>
      <c r="AO110" s="426"/>
      <c r="AP110" s="426"/>
      <c r="AQ110" s="424"/>
      <c r="AR110" s="424"/>
      <c r="AS110" s="424"/>
      <c r="AT110" s="2"/>
    </row>
    <row r="111" spans="1:46" ht="13.5">
      <c r="A111" s="335"/>
      <c r="B111" s="335"/>
      <c r="C111" s="335"/>
      <c r="D111" s="335"/>
      <c r="E111" s="335"/>
      <c r="F111" s="335"/>
      <c r="G111" s="335"/>
      <c r="H111" s="335"/>
      <c r="I111" s="335"/>
      <c r="J111" s="335"/>
      <c r="K111" s="335"/>
      <c r="L111" s="335"/>
      <c r="M111" s="334"/>
      <c r="N111" s="404"/>
      <c r="AC111" s="213"/>
      <c r="AN111" s="426"/>
      <c r="AO111" s="426"/>
      <c r="AP111" s="426"/>
      <c r="AQ111" s="424"/>
      <c r="AR111" s="424"/>
      <c r="AS111" s="424"/>
      <c r="AT111" s="245"/>
    </row>
    <row r="112" spans="1:46" ht="13.5">
      <c r="A112" s="335"/>
      <c r="B112" s="335"/>
      <c r="C112" s="335"/>
      <c r="D112" s="335"/>
      <c r="E112" s="335"/>
      <c r="F112" s="335"/>
      <c r="G112" s="335"/>
      <c r="H112" s="335"/>
      <c r="I112" s="335"/>
      <c r="J112" s="335"/>
      <c r="K112" s="335"/>
      <c r="L112" s="335"/>
      <c r="M112" s="334"/>
      <c r="N112" s="404"/>
      <c r="AC112" s="213"/>
      <c r="AN112" s="426"/>
      <c r="AO112" s="426"/>
      <c r="AP112" s="426"/>
      <c r="AQ112" s="424"/>
      <c r="AR112" s="424"/>
      <c r="AS112" s="424"/>
      <c r="AT112" s="245"/>
    </row>
    <row r="113" spans="1:46" ht="13.5">
      <c r="A113" s="335"/>
      <c r="B113" s="335"/>
      <c r="C113" s="335"/>
      <c r="D113" s="335"/>
      <c r="E113" s="335"/>
      <c r="F113" s="335"/>
      <c r="G113" s="335"/>
      <c r="H113" s="335"/>
      <c r="I113" s="335"/>
      <c r="J113" s="335"/>
      <c r="K113" s="335"/>
      <c r="L113" s="335"/>
      <c r="M113" s="334"/>
      <c r="N113" s="404"/>
      <c r="AC113" s="213"/>
      <c r="AN113" s="426"/>
      <c r="AO113" s="426"/>
      <c r="AP113" s="426"/>
      <c r="AQ113" s="424"/>
      <c r="AR113" s="424"/>
      <c r="AS113" s="424"/>
      <c r="AT113" s="245"/>
    </row>
    <row r="114" spans="1:46" ht="13.5">
      <c r="A114" s="335"/>
      <c r="B114" s="335"/>
      <c r="C114" s="335"/>
      <c r="D114" s="335"/>
      <c r="E114" s="335"/>
      <c r="F114" s="335"/>
      <c r="G114" s="335"/>
      <c r="H114" s="335"/>
      <c r="I114" s="335"/>
      <c r="J114" s="335"/>
      <c r="K114" s="335"/>
      <c r="L114" s="335"/>
      <c r="M114" s="334"/>
      <c r="N114" s="404"/>
      <c r="AC114" s="213"/>
      <c r="AN114" s="426"/>
      <c r="AO114" s="426"/>
      <c r="AP114" s="426"/>
      <c r="AQ114" s="424"/>
      <c r="AR114" s="424"/>
      <c r="AS114" s="424"/>
      <c r="AT114" s="245"/>
    </row>
    <row r="115" spans="1:46" ht="13.5">
      <c r="A115" s="335"/>
      <c r="B115" s="335"/>
      <c r="C115" s="335"/>
      <c r="D115" s="335"/>
      <c r="E115" s="335"/>
      <c r="F115" s="335"/>
      <c r="G115" s="335"/>
      <c r="H115" s="335"/>
      <c r="I115" s="335"/>
      <c r="J115" s="335"/>
      <c r="K115" s="335"/>
      <c r="L115" s="335"/>
      <c r="M115" s="334"/>
      <c r="N115" s="404"/>
      <c r="AC115" s="213"/>
      <c r="AN115" s="426"/>
      <c r="AO115" s="426"/>
      <c r="AP115" s="426"/>
      <c r="AQ115" s="424"/>
      <c r="AR115" s="424"/>
      <c r="AS115" s="424"/>
      <c r="AT115" s="245"/>
    </row>
    <row r="116" spans="1:46" ht="13.5">
      <c r="A116" s="335"/>
      <c r="B116" s="335"/>
      <c r="C116" s="335"/>
      <c r="D116" s="335"/>
      <c r="E116" s="335"/>
      <c r="F116" s="335"/>
      <c r="G116" s="335"/>
      <c r="H116" s="335"/>
      <c r="I116" s="335"/>
      <c r="J116" s="335"/>
      <c r="K116" s="335"/>
      <c r="L116" s="335"/>
      <c r="M116" s="334"/>
      <c r="N116" s="404"/>
      <c r="AC116" s="213"/>
      <c r="AN116" s="426"/>
      <c r="AO116" s="426"/>
      <c r="AP116" s="426"/>
      <c r="AQ116" s="424"/>
      <c r="AR116" s="424"/>
      <c r="AS116" s="424"/>
      <c r="AT116" s="245"/>
    </row>
    <row r="117" spans="1:46" ht="13.5">
      <c r="A117" s="335"/>
      <c r="B117" s="335"/>
      <c r="C117" s="335"/>
      <c r="D117" s="335"/>
      <c r="E117" s="335"/>
      <c r="F117" s="335"/>
      <c r="G117" s="335"/>
      <c r="H117" s="335"/>
      <c r="I117" s="335"/>
      <c r="J117" s="335"/>
      <c r="K117" s="335"/>
      <c r="L117" s="335"/>
      <c r="M117" s="334"/>
      <c r="N117" s="404"/>
      <c r="AC117" s="213"/>
      <c r="AN117" s="426"/>
      <c r="AO117" s="426"/>
      <c r="AP117" s="426"/>
      <c r="AQ117" s="424"/>
      <c r="AR117" s="424"/>
      <c r="AS117" s="424"/>
      <c r="AT117" s="245"/>
    </row>
    <row r="118" spans="1:46" ht="13.5">
      <c r="A118" s="335"/>
      <c r="B118" s="335"/>
      <c r="C118" s="335"/>
      <c r="D118" s="335"/>
      <c r="E118" s="335"/>
      <c r="F118" s="335"/>
      <c r="G118" s="335"/>
      <c r="H118" s="335"/>
      <c r="I118" s="335"/>
      <c r="J118" s="335"/>
      <c r="K118" s="335"/>
      <c r="L118" s="335"/>
      <c r="M118" s="334"/>
      <c r="N118" s="404"/>
      <c r="AC118" s="213"/>
      <c r="AN118" s="426"/>
      <c r="AO118" s="426"/>
      <c r="AP118" s="426"/>
      <c r="AQ118" s="424"/>
      <c r="AR118" s="424"/>
      <c r="AS118" s="424"/>
      <c r="AT118" s="245"/>
    </row>
    <row r="119" spans="1:46" ht="13.5">
      <c r="A119" s="335"/>
      <c r="B119" s="335"/>
      <c r="C119" s="335"/>
      <c r="D119" s="335"/>
      <c r="E119" s="335"/>
      <c r="F119" s="335"/>
      <c r="G119" s="335"/>
      <c r="H119" s="335"/>
      <c r="I119" s="335"/>
      <c r="J119" s="335"/>
      <c r="K119" s="335"/>
      <c r="L119" s="335"/>
      <c r="M119" s="334"/>
      <c r="N119" s="404"/>
      <c r="AC119" s="213"/>
      <c r="AN119" s="426"/>
      <c r="AO119" s="426"/>
      <c r="AP119" s="426"/>
      <c r="AQ119" s="424"/>
      <c r="AR119" s="424"/>
      <c r="AS119" s="424"/>
      <c r="AT119" s="245"/>
    </row>
    <row r="120" spans="1:46" ht="13.5">
      <c r="A120" s="335"/>
      <c r="B120" s="335"/>
      <c r="C120" s="335"/>
      <c r="D120" s="335"/>
      <c r="E120" s="335"/>
      <c r="F120" s="335"/>
      <c r="G120" s="335"/>
      <c r="H120" s="335"/>
      <c r="I120" s="335"/>
      <c r="J120" s="335"/>
      <c r="K120" s="335"/>
      <c r="L120" s="335"/>
      <c r="M120" s="334"/>
      <c r="N120" s="404"/>
      <c r="AC120" s="213"/>
      <c r="AN120" s="426"/>
      <c r="AO120" s="426"/>
      <c r="AP120" s="426"/>
      <c r="AQ120" s="424"/>
      <c r="AR120" s="424"/>
      <c r="AS120" s="424"/>
      <c r="AT120" s="245"/>
    </row>
    <row r="121" spans="1:46" ht="13.5">
      <c r="A121" s="335"/>
      <c r="B121" s="335"/>
      <c r="C121" s="335"/>
      <c r="D121" s="335"/>
      <c r="E121" s="335"/>
      <c r="F121" s="335"/>
      <c r="G121" s="335"/>
      <c r="H121" s="335"/>
      <c r="I121" s="335"/>
      <c r="J121" s="335"/>
      <c r="K121" s="335"/>
      <c r="L121" s="335"/>
      <c r="M121" s="334"/>
      <c r="N121" s="404"/>
      <c r="AC121" s="213"/>
      <c r="AN121" s="426"/>
      <c r="AO121" s="426"/>
      <c r="AP121" s="426"/>
      <c r="AQ121" s="424"/>
      <c r="AR121" s="424"/>
      <c r="AS121" s="424"/>
      <c r="AT121" s="245"/>
    </row>
    <row r="122" spans="1:46" ht="13.5">
      <c r="A122" s="335"/>
      <c r="B122" s="335"/>
      <c r="C122" s="335"/>
      <c r="D122" s="335"/>
      <c r="E122" s="335"/>
      <c r="F122" s="335"/>
      <c r="G122" s="335"/>
      <c r="H122" s="335"/>
      <c r="I122" s="335"/>
      <c r="J122" s="335"/>
      <c r="K122" s="335"/>
      <c r="L122" s="335"/>
      <c r="M122" s="334"/>
      <c r="N122" s="404"/>
      <c r="AC122" s="213"/>
      <c r="AN122" s="426"/>
      <c r="AO122" s="426"/>
      <c r="AP122" s="426"/>
      <c r="AQ122" s="424"/>
      <c r="AR122" s="424"/>
      <c r="AS122" s="424"/>
      <c r="AT122" s="245"/>
    </row>
    <row r="123" spans="1:46" ht="13.5">
      <c r="A123" s="335"/>
      <c r="B123" s="335"/>
      <c r="C123" s="335"/>
      <c r="D123" s="335"/>
      <c r="E123" s="335"/>
      <c r="F123" s="335"/>
      <c r="G123" s="335"/>
      <c r="H123" s="335"/>
      <c r="I123" s="335"/>
      <c r="J123" s="335"/>
      <c r="K123" s="335"/>
      <c r="L123" s="335"/>
      <c r="M123" s="334"/>
      <c r="N123" s="404"/>
      <c r="AC123" s="213"/>
      <c r="AN123" s="426"/>
      <c r="AO123" s="426"/>
      <c r="AP123" s="426"/>
      <c r="AQ123" s="424"/>
      <c r="AR123" s="424"/>
      <c r="AS123" s="424"/>
      <c r="AT123" s="245"/>
    </row>
    <row r="124" spans="1:46" ht="13.5">
      <c r="A124" s="335"/>
      <c r="B124" s="335"/>
      <c r="C124" s="335"/>
      <c r="D124" s="335"/>
      <c r="E124" s="335"/>
      <c r="F124" s="335"/>
      <c r="G124" s="335"/>
      <c r="H124" s="335"/>
      <c r="I124" s="335"/>
      <c r="J124" s="335"/>
      <c r="K124" s="335"/>
      <c r="L124" s="335"/>
      <c r="M124" s="334"/>
      <c r="N124" s="404"/>
      <c r="AC124" s="213"/>
      <c r="AN124" s="426"/>
      <c r="AO124" s="426"/>
      <c r="AP124" s="426"/>
      <c r="AQ124" s="424"/>
      <c r="AR124" s="424"/>
      <c r="AS124" s="424"/>
      <c r="AT124" s="245"/>
    </row>
    <row r="125" spans="1:46" ht="13.5">
      <c r="A125" s="335"/>
      <c r="B125" s="335"/>
      <c r="C125" s="335"/>
      <c r="D125" s="335"/>
      <c r="E125" s="335"/>
      <c r="F125" s="335"/>
      <c r="G125" s="335"/>
      <c r="H125" s="335"/>
      <c r="I125" s="335"/>
      <c r="J125" s="335"/>
      <c r="K125" s="335"/>
      <c r="L125" s="335"/>
      <c r="M125" s="334"/>
      <c r="N125" s="404"/>
      <c r="AC125" s="213"/>
      <c r="AN125" s="426"/>
      <c r="AO125" s="426"/>
      <c r="AP125" s="426"/>
      <c r="AQ125" s="424"/>
      <c r="AR125" s="424"/>
      <c r="AS125" s="424"/>
      <c r="AT125" s="245"/>
    </row>
    <row r="126" spans="1:46" ht="13.5">
      <c r="A126" s="335"/>
      <c r="B126" s="335"/>
      <c r="C126" s="335"/>
      <c r="D126" s="335"/>
      <c r="E126" s="335"/>
      <c r="F126" s="335"/>
      <c r="G126" s="335"/>
      <c r="H126" s="335"/>
      <c r="I126" s="335"/>
      <c r="J126" s="335"/>
      <c r="K126" s="335"/>
      <c r="L126" s="335"/>
      <c r="M126" s="334"/>
      <c r="N126" s="404"/>
      <c r="AC126" s="213"/>
      <c r="AN126" s="426"/>
      <c r="AO126" s="426"/>
      <c r="AP126" s="426"/>
      <c r="AQ126" s="424"/>
      <c r="AR126" s="424"/>
      <c r="AS126" s="424"/>
      <c r="AT126" s="245"/>
    </row>
    <row r="127" spans="1:46" ht="13.5">
      <c r="A127" s="335"/>
      <c r="B127" s="335"/>
      <c r="C127" s="335"/>
      <c r="D127" s="335"/>
      <c r="E127" s="335"/>
      <c r="F127" s="335"/>
      <c r="G127" s="335"/>
      <c r="H127" s="335"/>
      <c r="I127" s="335"/>
      <c r="J127" s="335"/>
      <c r="K127" s="335"/>
      <c r="L127" s="335"/>
      <c r="M127" s="334"/>
      <c r="N127" s="404"/>
      <c r="AC127" s="213"/>
      <c r="AN127" s="426"/>
      <c r="AO127" s="426"/>
      <c r="AP127" s="426"/>
      <c r="AQ127" s="424"/>
      <c r="AR127" s="424"/>
      <c r="AS127" s="424"/>
      <c r="AT127" s="245"/>
    </row>
    <row r="128" spans="1:46" ht="13.5">
      <c r="A128" s="335"/>
      <c r="B128" s="335"/>
      <c r="C128" s="335"/>
      <c r="D128" s="335"/>
      <c r="E128" s="335"/>
      <c r="F128" s="335"/>
      <c r="G128" s="335"/>
      <c r="H128" s="335"/>
      <c r="I128" s="335"/>
      <c r="J128" s="335"/>
      <c r="K128" s="335"/>
      <c r="L128" s="335"/>
      <c r="M128" s="334"/>
      <c r="N128" s="404"/>
      <c r="AC128" s="213"/>
      <c r="AN128" s="426"/>
      <c r="AO128" s="426"/>
      <c r="AP128" s="426"/>
      <c r="AQ128" s="424"/>
      <c r="AR128" s="424"/>
      <c r="AS128" s="424"/>
      <c r="AT128" s="245"/>
    </row>
    <row r="129" spans="1:46" ht="13.5">
      <c r="A129" s="335"/>
      <c r="B129" s="335"/>
      <c r="C129" s="335"/>
      <c r="D129" s="335"/>
      <c r="E129" s="335"/>
      <c r="F129" s="335"/>
      <c r="G129" s="335"/>
      <c r="H129" s="335"/>
      <c r="I129" s="335"/>
      <c r="J129" s="335"/>
      <c r="K129" s="335"/>
      <c r="L129" s="335"/>
      <c r="M129" s="334"/>
      <c r="N129" s="404"/>
      <c r="AC129" s="213"/>
      <c r="AN129" s="426"/>
      <c r="AO129" s="426"/>
      <c r="AP129" s="426"/>
      <c r="AQ129" s="424"/>
      <c r="AR129" s="424"/>
      <c r="AS129" s="424"/>
      <c r="AT129" s="245"/>
    </row>
    <row r="130" spans="1:46" ht="13.5">
      <c r="A130" s="335"/>
      <c r="B130" s="335"/>
      <c r="C130" s="335"/>
      <c r="D130" s="335"/>
      <c r="E130" s="335"/>
      <c r="F130" s="335"/>
      <c r="G130" s="335"/>
      <c r="H130" s="335"/>
      <c r="I130" s="335"/>
      <c r="J130" s="335"/>
      <c r="K130" s="335"/>
      <c r="L130" s="335"/>
      <c r="M130" s="334"/>
      <c r="N130" s="404"/>
      <c r="AC130" s="213"/>
      <c r="AN130" s="426"/>
      <c r="AO130" s="426"/>
      <c r="AP130" s="426"/>
      <c r="AQ130" s="424"/>
      <c r="AR130" s="424"/>
      <c r="AS130" s="424"/>
      <c r="AT130" s="245"/>
    </row>
    <row r="131" spans="1:46" ht="13.5">
      <c r="A131" s="245"/>
      <c r="B131" s="245"/>
      <c r="C131" s="245"/>
      <c r="D131" s="245"/>
      <c r="E131" s="245"/>
      <c r="F131" s="245"/>
      <c r="G131" s="245"/>
      <c r="H131" s="245"/>
      <c r="I131" s="245"/>
      <c r="J131" s="245"/>
      <c r="K131" s="245"/>
      <c r="L131" s="245"/>
      <c r="AC131" s="213"/>
      <c r="AN131" s="426"/>
      <c r="AO131" s="426"/>
      <c r="AP131" s="426"/>
      <c r="AQ131" s="424"/>
      <c r="AR131" s="424"/>
      <c r="AS131" s="424"/>
      <c r="AT131" s="245"/>
    </row>
    <row r="132" spans="1:46" ht="13.5">
      <c r="A132" s="245"/>
      <c r="B132" s="245"/>
      <c r="C132" s="245"/>
      <c r="D132" s="245"/>
      <c r="E132" s="245"/>
      <c r="F132" s="245"/>
      <c r="G132" s="245"/>
      <c r="H132" s="245"/>
      <c r="I132" s="245"/>
      <c r="J132" s="245"/>
      <c r="K132" s="245"/>
      <c r="L132" s="245"/>
      <c r="AC132" s="213"/>
      <c r="AN132" s="426"/>
      <c r="AO132" s="426"/>
      <c r="AP132" s="426"/>
      <c r="AQ132" s="424"/>
      <c r="AR132" s="424"/>
      <c r="AS132" s="424"/>
      <c r="AT132" s="245"/>
    </row>
    <row r="133" spans="1:46" ht="13.5">
      <c r="A133" s="245"/>
      <c r="B133" s="245"/>
      <c r="C133" s="245"/>
      <c r="D133" s="245"/>
      <c r="E133" s="245"/>
      <c r="F133" s="245"/>
      <c r="G133" s="245"/>
      <c r="H133" s="245"/>
      <c r="I133" s="245"/>
      <c r="J133" s="245"/>
      <c r="K133" s="245"/>
      <c r="L133" s="245"/>
      <c r="AC133" s="213"/>
      <c r="AN133" s="426"/>
      <c r="AO133" s="426"/>
      <c r="AP133" s="426"/>
      <c r="AQ133" s="424"/>
      <c r="AR133" s="424"/>
      <c r="AS133" s="424"/>
      <c r="AT133" s="245"/>
    </row>
    <row r="134" spans="1:46" ht="13.5">
      <c r="A134" s="245"/>
      <c r="B134" s="245"/>
      <c r="C134" s="245"/>
      <c r="D134" s="245"/>
      <c r="E134" s="245"/>
      <c r="F134" s="245"/>
      <c r="G134" s="245"/>
      <c r="H134" s="245"/>
      <c r="I134" s="245"/>
      <c r="J134" s="245"/>
      <c r="K134" s="245"/>
      <c r="L134" s="245"/>
      <c r="AC134" s="213"/>
      <c r="AN134" s="426"/>
      <c r="AO134" s="426"/>
      <c r="AP134" s="426"/>
      <c r="AQ134" s="424"/>
      <c r="AR134" s="424"/>
      <c r="AS134" s="424"/>
      <c r="AT134" s="245"/>
    </row>
    <row r="135" spans="1:46" ht="13.5">
      <c r="A135" s="245"/>
      <c r="B135" s="245"/>
      <c r="C135" s="245"/>
      <c r="D135" s="245"/>
      <c r="E135" s="245"/>
      <c r="F135" s="245"/>
      <c r="G135" s="245"/>
      <c r="H135" s="245"/>
      <c r="I135" s="245"/>
      <c r="J135" s="245"/>
      <c r="K135" s="245"/>
      <c r="L135" s="245"/>
      <c r="AC135" s="213"/>
      <c r="AN135" s="426"/>
      <c r="AO135" s="426"/>
      <c r="AP135" s="426"/>
      <c r="AQ135" s="424"/>
      <c r="AR135" s="424"/>
      <c r="AS135" s="424"/>
      <c r="AT135" s="245"/>
    </row>
    <row r="136" spans="1:46" ht="13.5">
      <c r="A136" s="245"/>
      <c r="B136" s="245"/>
      <c r="C136" s="245"/>
      <c r="D136" s="245"/>
      <c r="E136" s="245"/>
      <c r="F136" s="245"/>
      <c r="G136" s="245"/>
      <c r="H136" s="245"/>
      <c r="I136" s="245"/>
      <c r="J136" s="245"/>
      <c r="K136" s="245"/>
      <c r="L136" s="245"/>
      <c r="AC136" s="213"/>
      <c r="AN136" s="426"/>
      <c r="AO136" s="426"/>
      <c r="AP136" s="426"/>
      <c r="AQ136" s="424"/>
      <c r="AR136" s="424"/>
      <c r="AS136" s="424"/>
      <c r="AT136" s="245"/>
    </row>
    <row r="137" spans="1:46" ht="13.5">
      <c r="A137" s="245"/>
      <c r="B137" s="245"/>
      <c r="C137" s="245"/>
      <c r="D137" s="245"/>
      <c r="E137" s="245"/>
      <c r="F137" s="245"/>
      <c r="G137" s="245"/>
      <c r="H137" s="245"/>
      <c r="I137" s="245"/>
      <c r="J137" s="245"/>
      <c r="K137" s="245"/>
      <c r="L137" s="245"/>
      <c r="AC137" s="213"/>
      <c r="AN137" s="426"/>
      <c r="AO137" s="426"/>
      <c r="AP137" s="426"/>
      <c r="AQ137" s="424"/>
      <c r="AR137" s="424"/>
      <c r="AS137" s="424"/>
      <c r="AT137" s="245"/>
    </row>
    <row r="138" spans="1:46" ht="13.5">
      <c r="A138" s="245"/>
      <c r="B138" s="245"/>
      <c r="C138" s="245"/>
      <c r="D138" s="245"/>
      <c r="E138" s="245"/>
      <c r="F138" s="245"/>
      <c r="G138" s="245"/>
      <c r="H138" s="245"/>
      <c r="I138" s="245"/>
      <c r="J138" s="245"/>
      <c r="K138" s="245"/>
      <c r="L138" s="245"/>
      <c r="AC138" s="213"/>
      <c r="AN138" s="426"/>
      <c r="AO138" s="426"/>
      <c r="AP138" s="426"/>
      <c r="AQ138" s="424"/>
      <c r="AR138" s="424"/>
      <c r="AS138" s="424"/>
      <c r="AT138" s="245"/>
    </row>
    <row r="139" spans="1:46" ht="13.5">
      <c r="A139" s="245"/>
      <c r="B139" s="245"/>
      <c r="C139" s="245"/>
      <c r="D139" s="245"/>
      <c r="E139" s="245"/>
      <c r="F139" s="245"/>
      <c r="G139" s="245"/>
      <c r="H139" s="245"/>
      <c r="I139" s="245"/>
      <c r="J139" s="245"/>
      <c r="K139" s="245"/>
      <c r="L139" s="245"/>
      <c r="AC139" s="213"/>
      <c r="AN139" s="426"/>
      <c r="AO139" s="426"/>
      <c r="AP139" s="426"/>
      <c r="AQ139" s="424"/>
      <c r="AR139" s="424"/>
      <c r="AS139" s="424"/>
      <c r="AT139" s="245"/>
    </row>
    <row r="140" spans="1:46" ht="13.5">
      <c r="A140" s="245"/>
      <c r="B140" s="245"/>
      <c r="C140" s="245"/>
      <c r="D140" s="245"/>
      <c r="E140" s="245"/>
      <c r="F140" s="245"/>
      <c r="G140" s="245"/>
      <c r="H140" s="245"/>
      <c r="I140" s="245"/>
      <c r="J140" s="245"/>
      <c r="K140" s="245"/>
      <c r="L140" s="245"/>
      <c r="AC140" s="213"/>
      <c r="AN140" s="426"/>
      <c r="AO140" s="426"/>
      <c r="AP140" s="426"/>
      <c r="AQ140" s="424"/>
      <c r="AR140" s="424"/>
      <c r="AS140" s="424"/>
      <c r="AT140" s="245"/>
    </row>
    <row r="141" spans="1:46" ht="13.5">
      <c r="A141" s="245"/>
      <c r="B141" s="245"/>
      <c r="C141" s="245"/>
      <c r="D141" s="245"/>
      <c r="E141" s="245"/>
      <c r="F141" s="245"/>
      <c r="G141" s="245"/>
      <c r="H141" s="245"/>
      <c r="I141" s="245"/>
      <c r="J141" s="245"/>
      <c r="K141" s="245"/>
      <c r="L141" s="245"/>
      <c r="AC141" s="213"/>
      <c r="AN141" s="426"/>
      <c r="AO141" s="426"/>
      <c r="AP141" s="426"/>
      <c r="AQ141" s="424"/>
      <c r="AR141" s="424"/>
      <c r="AS141" s="424"/>
      <c r="AT141" s="245"/>
    </row>
    <row r="142" spans="1:46" ht="13.5">
      <c r="A142" s="245"/>
      <c r="B142" s="245"/>
      <c r="C142" s="245"/>
      <c r="D142" s="245"/>
      <c r="E142" s="245"/>
      <c r="F142" s="245"/>
      <c r="G142" s="245"/>
      <c r="H142" s="245"/>
      <c r="I142" s="245"/>
      <c r="J142" s="245"/>
      <c r="K142" s="245"/>
      <c r="L142" s="245"/>
      <c r="AC142" s="213"/>
      <c r="AN142" s="426"/>
      <c r="AO142" s="426"/>
      <c r="AP142" s="426"/>
      <c r="AQ142" s="424"/>
      <c r="AR142" s="424"/>
      <c r="AS142" s="424"/>
      <c r="AT142" s="245"/>
    </row>
    <row r="143" spans="1:46" ht="13.5">
      <c r="A143" s="245"/>
      <c r="B143" s="245"/>
      <c r="C143" s="245"/>
      <c r="D143" s="245"/>
      <c r="E143" s="245"/>
      <c r="F143" s="245"/>
      <c r="G143" s="245"/>
      <c r="H143" s="245"/>
      <c r="I143" s="245"/>
      <c r="J143" s="245"/>
      <c r="K143" s="245"/>
      <c r="L143" s="245"/>
      <c r="AC143" s="213"/>
      <c r="AN143" s="426"/>
      <c r="AO143" s="426"/>
      <c r="AP143" s="426"/>
      <c r="AQ143" s="424"/>
      <c r="AR143" s="424"/>
      <c r="AS143" s="424"/>
      <c r="AT143" s="245"/>
    </row>
    <row r="144" spans="1:46" ht="13.5">
      <c r="A144" s="245"/>
      <c r="B144" s="245"/>
      <c r="C144" s="245"/>
      <c r="D144" s="245"/>
      <c r="E144" s="245"/>
      <c r="F144" s="245"/>
      <c r="G144" s="245"/>
      <c r="H144" s="245"/>
      <c r="I144" s="245"/>
      <c r="J144" s="245"/>
      <c r="K144" s="245"/>
      <c r="L144" s="245"/>
      <c r="AC144" s="213"/>
      <c r="AN144" s="426"/>
      <c r="AO144" s="426"/>
      <c r="AP144" s="426"/>
      <c r="AQ144" s="424"/>
      <c r="AR144" s="424"/>
      <c r="AS144" s="424"/>
      <c r="AT144" s="245"/>
    </row>
    <row r="145" spans="1:46" ht="13.5">
      <c r="A145" s="245"/>
      <c r="B145" s="245"/>
      <c r="C145" s="245"/>
      <c r="D145" s="245"/>
      <c r="E145" s="245"/>
      <c r="F145" s="245"/>
      <c r="G145" s="245"/>
      <c r="H145" s="245"/>
      <c r="I145" s="245"/>
      <c r="J145" s="245"/>
      <c r="K145" s="245"/>
      <c r="L145" s="245"/>
      <c r="AC145" s="213"/>
      <c r="AN145" s="426"/>
      <c r="AO145" s="426"/>
      <c r="AP145" s="426"/>
      <c r="AQ145" s="424"/>
      <c r="AR145" s="424"/>
      <c r="AS145" s="424"/>
      <c r="AT145" s="245"/>
    </row>
    <row r="146" spans="1:46" ht="13.5">
      <c r="A146" s="245"/>
      <c r="B146" s="245"/>
      <c r="C146" s="245"/>
      <c r="D146" s="245"/>
      <c r="E146" s="245"/>
      <c r="F146" s="245"/>
      <c r="G146" s="245"/>
      <c r="H146" s="245"/>
      <c r="I146" s="245"/>
      <c r="J146" s="245"/>
      <c r="K146" s="245"/>
      <c r="L146" s="245"/>
      <c r="AC146" s="213"/>
      <c r="AN146" s="426"/>
      <c r="AO146" s="426"/>
      <c r="AP146" s="426"/>
      <c r="AQ146" s="424"/>
      <c r="AR146" s="424"/>
      <c r="AS146" s="424"/>
      <c r="AT146" s="245"/>
    </row>
    <row r="147" spans="1:46" ht="13.5">
      <c r="A147" s="245"/>
      <c r="B147" s="245"/>
      <c r="C147" s="245"/>
      <c r="D147" s="245"/>
      <c r="E147" s="245"/>
      <c r="F147" s="245"/>
      <c r="G147" s="245"/>
      <c r="H147" s="245"/>
      <c r="I147" s="245"/>
      <c r="J147" s="245"/>
      <c r="K147" s="245"/>
      <c r="L147" s="245"/>
      <c r="AC147" s="213"/>
      <c r="AN147" s="426"/>
      <c r="AO147" s="426"/>
      <c r="AP147" s="426"/>
      <c r="AQ147" s="424"/>
      <c r="AR147" s="424"/>
      <c r="AS147" s="424"/>
      <c r="AT147" s="245"/>
    </row>
    <row r="148" spans="1:46" ht="13.5">
      <c r="A148" s="245"/>
      <c r="B148" s="245"/>
      <c r="C148" s="245"/>
      <c r="D148" s="245"/>
      <c r="E148" s="245"/>
      <c r="F148" s="245"/>
      <c r="G148" s="245"/>
      <c r="H148" s="245"/>
      <c r="I148" s="245"/>
      <c r="J148" s="245"/>
      <c r="K148" s="245"/>
      <c r="L148" s="245"/>
      <c r="AC148" s="213"/>
      <c r="AN148" s="426"/>
      <c r="AO148" s="426"/>
      <c r="AP148" s="426"/>
      <c r="AQ148" s="424"/>
      <c r="AR148" s="424"/>
      <c r="AS148" s="424"/>
      <c r="AT148" s="245"/>
    </row>
    <row r="149" spans="1:46" ht="13.5">
      <c r="A149" s="245"/>
      <c r="B149" s="245"/>
      <c r="C149" s="245"/>
      <c r="D149" s="245"/>
      <c r="E149" s="245"/>
      <c r="F149" s="245"/>
      <c r="G149" s="245"/>
      <c r="H149" s="245"/>
      <c r="I149" s="245"/>
      <c r="J149" s="245"/>
      <c r="K149" s="245"/>
      <c r="L149" s="245"/>
      <c r="AC149" s="213"/>
      <c r="AN149" s="426"/>
      <c r="AO149" s="426"/>
      <c r="AP149" s="426"/>
      <c r="AQ149" s="424"/>
      <c r="AR149" s="424"/>
      <c r="AS149" s="424"/>
      <c r="AT149" s="245"/>
    </row>
    <row r="150" spans="1:46" ht="13.5">
      <c r="A150" s="245"/>
      <c r="B150" s="245"/>
      <c r="C150" s="245"/>
      <c r="D150" s="245"/>
      <c r="E150" s="245"/>
      <c r="F150" s="245"/>
      <c r="G150" s="245"/>
      <c r="H150" s="245"/>
      <c r="I150" s="245"/>
      <c r="J150" s="245"/>
      <c r="K150" s="245"/>
      <c r="L150" s="245"/>
      <c r="AC150" s="213"/>
      <c r="AN150" s="426"/>
      <c r="AO150" s="426"/>
      <c r="AP150" s="426"/>
      <c r="AQ150" s="424"/>
      <c r="AR150" s="424"/>
      <c r="AS150" s="424"/>
      <c r="AT150" s="245"/>
    </row>
    <row r="151" spans="1:46" ht="13.5">
      <c r="A151" s="245"/>
      <c r="B151" s="245"/>
      <c r="C151" s="245"/>
      <c r="D151" s="245"/>
      <c r="E151" s="245"/>
      <c r="F151" s="245"/>
      <c r="G151" s="245"/>
      <c r="H151" s="245"/>
      <c r="I151" s="245"/>
      <c r="J151" s="245"/>
      <c r="K151" s="245"/>
      <c r="L151" s="245"/>
      <c r="AC151" s="213"/>
      <c r="AN151" s="426"/>
      <c r="AO151" s="426"/>
      <c r="AP151" s="426"/>
      <c r="AQ151" s="424"/>
      <c r="AR151" s="424"/>
      <c r="AS151" s="424"/>
      <c r="AT151" s="245"/>
    </row>
    <row r="152" spans="1:46" ht="13.5">
      <c r="A152" s="245"/>
      <c r="B152" s="245"/>
      <c r="C152" s="245"/>
      <c r="D152" s="245"/>
      <c r="E152" s="245"/>
      <c r="F152" s="245"/>
      <c r="G152" s="245"/>
      <c r="H152" s="245"/>
      <c r="I152" s="245"/>
      <c r="J152" s="245"/>
      <c r="K152" s="245"/>
      <c r="L152" s="245"/>
      <c r="AC152" s="213"/>
      <c r="AN152" s="426"/>
      <c r="AO152" s="426"/>
      <c r="AP152" s="426"/>
      <c r="AQ152" s="424"/>
      <c r="AR152" s="424"/>
      <c r="AS152" s="424"/>
      <c r="AT152" s="245"/>
    </row>
    <row r="153" spans="1:46" ht="13.5">
      <c r="A153" s="245"/>
      <c r="B153" s="245"/>
      <c r="C153" s="245"/>
      <c r="D153" s="245"/>
      <c r="E153" s="245"/>
      <c r="F153" s="245"/>
      <c r="G153" s="245"/>
      <c r="H153" s="245"/>
      <c r="I153" s="245"/>
      <c r="J153" s="245"/>
      <c r="K153" s="245"/>
      <c r="L153" s="245"/>
      <c r="AC153" s="213"/>
      <c r="AN153" s="426"/>
      <c r="AO153" s="426"/>
      <c r="AP153" s="426"/>
      <c r="AQ153" s="424"/>
      <c r="AR153" s="424"/>
      <c r="AS153" s="424"/>
      <c r="AT153" s="245"/>
    </row>
    <row r="154" spans="1:46" ht="13.5">
      <c r="A154" s="245"/>
      <c r="B154" s="245"/>
      <c r="C154" s="245"/>
      <c r="D154" s="245"/>
      <c r="E154" s="245"/>
      <c r="F154" s="245"/>
      <c r="G154" s="245"/>
      <c r="H154" s="245"/>
      <c r="I154" s="245"/>
      <c r="J154" s="245"/>
      <c r="K154" s="245"/>
      <c r="L154" s="245"/>
      <c r="AC154" s="213"/>
      <c r="AN154" s="426"/>
      <c r="AO154" s="426"/>
      <c r="AP154" s="426"/>
      <c r="AQ154" s="424"/>
      <c r="AR154" s="424"/>
      <c r="AS154" s="424"/>
      <c r="AT154" s="245"/>
    </row>
    <row r="155" spans="1:46" ht="13.5">
      <c r="A155" s="245"/>
      <c r="B155" s="245"/>
      <c r="C155" s="245"/>
      <c r="D155" s="245"/>
      <c r="E155" s="245"/>
      <c r="F155" s="245"/>
      <c r="G155" s="245"/>
      <c r="H155" s="245"/>
      <c r="I155" s="245"/>
      <c r="J155" s="245"/>
      <c r="K155" s="245"/>
      <c r="L155" s="245"/>
      <c r="AC155" s="213"/>
      <c r="AN155" s="426"/>
      <c r="AO155" s="426"/>
      <c r="AP155" s="426"/>
      <c r="AQ155" s="424"/>
      <c r="AR155" s="424"/>
      <c r="AS155" s="424"/>
      <c r="AT155" s="245"/>
    </row>
    <row r="156" spans="1:46" ht="13.5">
      <c r="A156" s="245"/>
      <c r="B156" s="245"/>
      <c r="C156" s="245"/>
      <c r="D156" s="245"/>
      <c r="E156" s="245"/>
      <c r="F156" s="245"/>
      <c r="G156" s="245"/>
      <c r="H156" s="245"/>
      <c r="I156" s="245"/>
      <c r="J156" s="245"/>
      <c r="K156" s="245"/>
      <c r="L156" s="245"/>
      <c r="AC156" s="213"/>
      <c r="AN156" s="426"/>
      <c r="AO156" s="426"/>
      <c r="AP156" s="426"/>
      <c r="AQ156" s="424"/>
      <c r="AR156" s="424"/>
      <c r="AS156" s="424"/>
      <c r="AT156" s="245"/>
    </row>
    <row r="157" spans="1:46" ht="13.5">
      <c r="A157" s="245"/>
      <c r="B157" s="245"/>
      <c r="C157" s="245"/>
      <c r="D157" s="245"/>
      <c r="E157" s="245"/>
      <c r="F157" s="245"/>
      <c r="G157" s="245"/>
      <c r="H157" s="245"/>
      <c r="I157" s="245"/>
      <c r="J157" s="245"/>
      <c r="K157" s="245"/>
      <c r="L157" s="245"/>
      <c r="AC157" s="213"/>
      <c r="AN157" s="426"/>
      <c r="AO157" s="426"/>
      <c r="AP157" s="426"/>
      <c r="AQ157" s="424"/>
      <c r="AR157" s="424"/>
      <c r="AS157" s="424"/>
      <c r="AT157" s="245"/>
    </row>
    <row r="158" spans="1:46" ht="13.5">
      <c r="A158" s="245"/>
      <c r="B158" s="245"/>
      <c r="C158" s="245"/>
      <c r="D158" s="245"/>
      <c r="E158" s="245"/>
      <c r="F158" s="245"/>
      <c r="G158" s="245"/>
      <c r="H158" s="245"/>
      <c r="I158" s="245"/>
      <c r="J158" s="245"/>
      <c r="K158" s="245"/>
      <c r="L158" s="245"/>
      <c r="AC158" s="213"/>
      <c r="AN158" s="426"/>
      <c r="AO158" s="426"/>
      <c r="AP158" s="426"/>
      <c r="AQ158" s="424"/>
      <c r="AR158" s="424"/>
      <c r="AS158" s="424"/>
      <c r="AT158" s="245"/>
    </row>
    <row r="159" spans="1:46" ht="13.5">
      <c r="A159" s="245"/>
      <c r="B159" s="245"/>
      <c r="C159" s="245"/>
      <c r="D159" s="245"/>
      <c r="E159" s="245"/>
      <c r="F159" s="245"/>
      <c r="G159" s="245"/>
      <c r="H159" s="245"/>
      <c r="I159" s="245"/>
      <c r="J159" s="245"/>
      <c r="K159" s="245"/>
      <c r="L159" s="245"/>
      <c r="AC159" s="213"/>
      <c r="AN159" s="426"/>
      <c r="AO159" s="426"/>
      <c r="AP159" s="426"/>
      <c r="AQ159" s="424"/>
      <c r="AR159" s="424"/>
      <c r="AS159" s="424"/>
      <c r="AT159" s="245"/>
    </row>
    <row r="160" spans="1:46" ht="13.5">
      <c r="A160" s="245"/>
      <c r="B160" s="245"/>
      <c r="C160" s="245"/>
      <c r="D160" s="245"/>
      <c r="E160" s="245"/>
      <c r="F160" s="245"/>
      <c r="G160" s="245"/>
      <c r="H160" s="245"/>
      <c r="I160" s="245"/>
      <c r="J160" s="245"/>
      <c r="K160" s="245"/>
      <c r="L160" s="245"/>
      <c r="AC160" s="213"/>
      <c r="AN160" s="426"/>
      <c r="AO160" s="426"/>
      <c r="AP160" s="426"/>
      <c r="AQ160" s="424"/>
      <c r="AR160" s="424"/>
      <c r="AS160" s="424"/>
      <c r="AT160" s="245"/>
    </row>
    <row r="161" spans="1:46" ht="13.5">
      <c r="A161" s="245"/>
      <c r="B161" s="245"/>
      <c r="C161" s="245"/>
      <c r="D161" s="245"/>
      <c r="E161" s="245"/>
      <c r="F161" s="245"/>
      <c r="G161" s="245"/>
      <c r="H161" s="245"/>
      <c r="I161" s="245"/>
      <c r="J161" s="245"/>
      <c r="K161" s="245"/>
      <c r="L161" s="245"/>
      <c r="AC161" s="213"/>
      <c r="AN161" s="426"/>
      <c r="AO161" s="426"/>
      <c r="AP161" s="426"/>
      <c r="AQ161" s="424"/>
      <c r="AR161" s="424"/>
      <c r="AS161" s="424"/>
      <c r="AT161" s="245"/>
    </row>
    <row r="162" spans="1:46" ht="13.5">
      <c r="A162" s="245"/>
      <c r="B162" s="245"/>
      <c r="C162" s="245"/>
      <c r="D162" s="245"/>
      <c r="E162" s="245"/>
      <c r="F162" s="245"/>
      <c r="G162" s="245"/>
      <c r="H162" s="245"/>
      <c r="I162" s="245"/>
      <c r="J162" s="245"/>
      <c r="K162" s="245"/>
      <c r="L162" s="245"/>
      <c r="AC162" s="213"/>
      <c r="AN162" s="426"/>
      <c r="AO162" s="426"/>
      <c r="AP162" s="426"/>
      <c r="AQ162" s="424"/>
      <c r="AR162" s="424"/>
      <c r="AS162" s="424"/>
      <c r="AT162" s="245"/>
    </row>
    <row r="163" spans="1:46" ht="13.5">
      <c r="A163" s="245"/>
      <c r="B163" s="245"/>
      <c r="C163" s="245"/>
      <c r="D163" s="245"/>
      <c r="E163" s="245"/>
      <c r="F163" s="245"/>
      <c r="G163" s="245"/>
      <c r="H163" s="245"/>
      <c r="I163" s="245"/>
      <c r="J163" s="245"/>
      <c r="K163" s="245"/>
      <c r="L163" s="245"/>
      <c r="AC163" s="213"/>
      <c r="AN163" s="426"/>
      <c r="AO163" s="426"/>
      <c r="AP163" s="426"/>
      <c r="AQ163" s="424"/>
      <c r="AR163" s="424"/>
      <c r="AS163" s="424"/>
      <c r="AT163" s="245"/>
    </row>
    <row r="164" spans="1:46" ht="13.5">
      <c r="A164" s="245"/>
      <c r="B164" s="245"/>
      <c r="C164" s="245"/>
      <c r="D164" s="245"/>
      <c r="E164" s="245"/>
      <c r="F164" s="245"/>
      <c r="G164" s="245"/>
      <c r="H164" s="245"/>
      <c r="I164" s="245"/>
      <c r="J164" s="245"/>
      <c r="K164" s="245"/>
      <c r="L164" s="245"/>
      <c r="AC164" s="213"/>
      <c r="AN164" s="426"/>
      <c r="AO164" s="426"/>
      <c r="AP164" s="426"/>
      <c r="AQ164" s="424"/>
      <c r="AR164" s="424"/>
      <c r="AS164" s="424"/>
      <c r="AT164" s="245"/>
    </row>
    <row r="165" spans="1:46" ht="13.5">
      <c r="A165" s="245"/>
      <c r="B165" s="245"/>
      <c r="C165" s="245"/>
      <c r="D165" s="245"/>
      <c r="E165" s="245"/>
      <c r="F165" s="245"/>
      <c r="G165" s="245"/>
      <c r="H165" s="245"/>
      <c r="I165" s="245"/>
      <c r="J165" s="245"/>
      <c r="K165" s="245"/>
      <c r="L165" s="245"/>
      <c r="AC165" s="213"/>
      <c r="AN165" s="426"/>
      <c r="AO165" s="426"/>
      <c r="AP165" s="426"/>
      <c r="AQ165" s="424"/>
      <c r="AR165" s="424"/>
      <c r="AS165" s="424"/>
      <c r="AT165" s="245"/>
    </row>
    <row r="166" spans="1:46" ht="13.5">
      <c r="A166" s="245"/>
      <c r="B166" s="245"/>
      <c r="C166" s="245"/>
      <c r="D166" s="245"/>
      <c r="E166" s="245"/>
      <c r="F166" s="245"/>
      <c r="G166" s="245"/>
      <c r="H166" s="245"/>
      <c r="I166" s="245"/>
      <c r="J166" s="245"/>
      <c r="K166" s="245"/>
      <c r="L166" s="245"/>
      <c r="AC166" s="213"/>
      <c r="AN166" s="426"/>
      <c r="AO166" s="426"/>
      <c r="AP166" s="426"/>
      <c r="AQ166" s="424"/>
      <c r="AR166" s="424"/>
      <c r="AS166" s="424"/>
      <c r="AT166" s="245"/>
    </row>
    <row r="167" spans="1:46" ht="13.5">
      <c r="A167" s="245"/>
      <c r="B167" s="245"/>
      <c r="C167" s="245"/>
      <c r="D167" s="245"/>
      <c r="E167" s="245"/>
      <c r="F167" s="245"/>
      <c r="G167" s="245"/>
      <c r="H167" s="245"/>
      <c r="I167" s="245"/>
      <c r="J167" s="245"/>
      <c r="K167" s="245"/>
      <c r="L167" s="245"/>
      <c r="AC167" s="213"/>
      <c r="AN167" s="426"/>
      <c r="AO167" s="426"/>
      <c r="AP167" s="426"/>
      <c r="AQ167" s="424"/>
      <c r="AR167" s="424"/>
      <c r="AS167" s="424"/>
      <c r="AT167" s="245"/>
    </row>
    <row r="168" spans="1:46" ht="13.5">
      <c r="A168" s="245"/>
      <c r="B168" s="245"/>
      <c r="C168" s="245"/>
      <c r="D168" s="245"/>
      <c r="E168" s="245"/>
      <c r="F168" s="245"/>
      <c r="G168" s="245"/>
      <c r="H168" s="245"/>
      <c r="I168" s="245"/>
      <c r="J168" s="245"/>
      <c r="K168" s="245"/>
      <c r="L168" s="245"/>
      <c r="AC168" s="213"/>
      <c r="AN168" s="426"/>
      <c r="AO168" s="426"/>
      <c r="AP168" s="426"/>
      <c r="AQ168" s="424"/>
      <c r="AR168" s="424"/>
      <c r="AS168" s="424"/>
      <c r="AT168" s="245"/>
    </row>
    <row r="169" spans="1:46" ht="13.5">
      <c r="A169" s="245"/>
      <c r="B169" s="245"/>
      <c r="C169" s="245"/>
      <c r="D169" s="245"/>
      <c r="E169" s="245"/>
      <c r="F169" s="245"/>
      <c r="G169" s="245"/>
      <c r="H169" s="245"/>
      <c r="I169" s="245"/>
      <c r="J169" s="245"/>
      <c r="K169" s="245"/>
      <c r="L169" s="245"/>
      <c r="AC169" s="213"/>
      <c r="AN169" s="426"/>
      <c r="AO169" s="426"/>
      <c r="AP169" s="426"/>
      <c r="AQ169" s="424"/>
      <c r="AR169" s="424"/>
      <c r="AS169" s="424"/>
      <c r="AT169" s="245"/>
    </row>
    <row r="170" spans="1:46" ht="13.5">
      <c r="A170" s="245"/>
      <c r="B170" s="245"/>
      <c r="C170" s="245"/>
      <c r="D170" s="245"/>
      <c r="E170" s="245"/>
      <c r="F170" s="245"/>
      <c r="G170" s="245"/>
      <c r="H170" s="245"/>
      <c r="I170" s="245"/>
      <c r="J170" s="245"/>
      <c r="K170" s="245"/>
      <c r="L170" s="245"/>
      <c r="AC170" s="213"/>
      <c r="AN170" s="426"/>
      <c r="AO170" s="426"/>
      <c r="AP170" s="426"/>
      <c r="AQ170" s="424"/>
      <c r="AR170" s="424"/>
      <c r="AS170" s="424"/>
      <c r="AT170" s="245"/>
    </row>
    <row r="171" spans="1:46" ht="13.5">
      <c r="A171" s="245"/>
      <c r="B171" s="245"/>
      <c r="C171" s="245"/>
      <c r="D171" s="245"/>
      <c r="E171" s="245"/>
      <c r="F171" s="245"/>
      <c r="G171" s="245"/>
      <c r="H171" s="245"/>
      <c r="I171" s="245"/>
      <c r="J171" s="245"/>
      <c r="K171" s="245"/>
      <c r="L171" s="245"/>
      <c r="AC171" s="213"/>
      <c r="AN171" s="426"/>
      <c r="AO171" s="426"/>
      <c r="AP171" s="426"/>
      <c r="AQ171" s="424"/>
      <c r="AR171" s="424"/>
      <c r="AS171" s="424"/>
      <c r="AT171" s="245"/>
    </row>
    <row r="172" spans="1:46" ht="13.5">
      <c r="A172" s="245"/>
      <c r="B172" s="245"/>
      <c r="C172" s="245"/>
      <c r="D172" s="245"/>
      <c r="E172" s="245"/>
      <c r="F172" s="245"/>
      <c r="G172" s="245"/>
      <c r="H172" s="245"/>
      <c r="I172" s="245"/>
      <c r="J172" s="245"/>
      <c r="K172" s="245"/>
      <c r="L172" s="245"/>
      <c r="AC172" s="213"/>
      <c r="AN172" s="426"/>
      <c r="AO172" s="426"/>
      <c r="AP172" s="426"/>
      <c r="AQ172" s="424"/>
      <c r="AR172" s="424"/>
      <c r="AS172" s="424"/>
      <c r="AT172" s="245"/>
    </row>
    <row r="173" spans="1:46" ht="13.5">
      <c r="A173" s="245"/>
      <c r="B173" s="245"/>
      <c r="C173" s="245"/>
      <c r="D173" s="245"/>
      <c r="E173" s="245"/>
      <c r="F173" s="245"/>
      <c r="G173" s="245"/>
      <c r="H173" s="245"/>
      <c r="I173" s="245"/>
      <c r="J173" s="245"/>
      <c r="K173" s="245"/>
      <c r="L173" s="245"/>
      <c r="AC173" s="213"/>
      <c r="AN173" s="426"/>
      <c r="AO173" s="426"/>
      <c r="AP173" s="426"/>
      <c r="AQ173" s="424"/>
      <c r="AR173" s="424"/>
      <c r="AS173" s="424"/>
      <c r="AT173" s="245"/>
    </row>
    <row r="174" spans="1:46" ht="13.5">
      <c r="A174" s="245"/>
      <c r="B174" s="245"/>
      <c r="C174" s="245"/>
      <c r="D174" s="245"/>
      <c r="E174" s="245"/>
      <c r="F174" s="245"/>
      <c r="G174" s="245"/>
      <c r="H174" s="245"/>
      <c r="I174" s="245"/>
      <c r="J174" s="245"/>
      <c r="K174" s="245"/>
      <c r="L174" s="245"/>
      <c r="AC174" s="213"/>
      <c r="AN174" s="426"/>
      <c r="AO174" s="426"/>
      <c r="AP174" s="426"/>
      <c r="AQ174" s="424"/>
      <c r="AR174" s="424"/>
      <c r="AS174" s="424"/>
      <c r="AT174" s="245"/>
    </row>
    <row r="175" spans="1:46" ht="13.5">
      <c r="A175" s="245"/>
      <c r="B175" s="245"/>
      <c r="C175" s="245"/>
      <c r="D175" s="245"/>
      <c r="E175" s="245"/>
      <c r="F175" s="245"/>
      <c r="G175" s="245"/>
      <c r="H175" s="245"/>
      <c r="I175" s="245"/>
      <c r="J175" s="245"/>
      <c r="K175" s="245"/>
      <c r="L175" s="245"/>
      <c r="AC175" s="213"/>
      <c r="AN175" s="426"/>
      <c r="AO175" s="426"/>
      <c r="AP175" s="426"/>
      <c r="AQ175" s="424"/>
      <c r="AR175" s="424"/>
      <c r="AS175" s="424"/>
      <c r="AT175" s="245"/>
    </row>
    <row r="176" spans="1:46" ht="13.5">
      <c r="A176" s="245"/>
      <c r="B176" s="245"/>
      <c r="C176" s="245"/>
      <c r="D176" s="245"/>
      <c r="E176" s="245"/>
      <c r="F176" s="245"/>
      <c r="G176" s="245"/>
      <c r="H176" s="245"/>
      <c r="I176" s="245"/>
      <c r="J176" s="245"/>
      <c r="K176" s="245"/>
      <c r="L176" s="245"/>
      <c r="AC176" s="213"/>
      <c r="AN176" s="426"/>
      <c r="AO176" s="426"/>
      <c r="AP176" s="426"/>
      <c r="AQ176" s="424"/>
      <c r="AR176" s="424"/>
      <c r="AS176" s="424"/>
      <c r="AT176" s="245"/>
    </row>
    <row r="177" spans="1:46" ht="13.5">
      <c r="A177" s="245"/>
      <c r="B177" s="245"/>
      <c r="C177" s="245"/>
      <c r="D177" s="245"/>
      <c r="E177" s="245"/>
      <c r="F177" s="245"/>
      <c r="G177" s="245"/>
      <c r="H177" s="245"/>
      <c r="I177" s="245"/>
      <c r="J177" s="245"/>
      <c r="K177" s="245"/>
      <c r="L177" s="245"/>
      <c r="AC177" s="213"/>
      <c r="AN177" s="426"/>
      <c r="AO177" s="426"/>
      <c r="AP177" s="426"/>
      <c r="AQ177" s="424"/>
      <c r="AR177" s="424"/>
      <c r="AS177" s="424"/>
      <c r="AT177" s="245"/>
    </row>
    <row r="178" spans="1:46" ht="13.5">
      <c r="A178" s="245"/>
      <c r="B178" s="245"/>
      <c r="C178" s="245"/>
      <c r="D178" s="245"/>
      <c r="E178" s="245"/>
      <c r="F178" s="245"/>
      <c r="G178" s="245"/>
      <c r="H178" s="245"/>
      <c r="I178" s="245"/>
      <c r="J178" s="245"/>
      <c r="K178" s="245"/>
      <c r="L178" s="245"/>
      <c r="AC178" s="213"/>
      <c r="AN178" s="426"/>
      <c r="AO178" s="426"/>
      <c r="AP178" s="426"/>
      <c r="AQ178" s="424"/>
      <c r="AR178" s="424"/>
      <c r="AS178" s="424"/>
      <c r="AT178" s="245"/>
    </row>
    <row r="179" spans="1:46" ht="13.5">
      <c r="A179" s="245"/>
      <c r="B179" s="245"/>
      <c r="C179" s="245"/>
      <c r="D179" s="245"/>
      <c r="E179" s="245"/>
      <c r="F179" s="245"/>
      <c r="G179" s="245"/>
      <c r="H179" s="245"/>
      <c r="I179" s="245"/>
      <c r="J179" s="245"/>
      <c r="K179" s="245"/>
      <c r="L179" s="245"/>
      <c r="AC179" s="213"/>
      <c r="AN179" s="426"/>
      <c r="AO179" s="426"/>
      <c r="AP179" s="426"/>
      <c r="AQ179" s="424"/>
      <c r="AR179" s="424"/>
      <c r="AS179" s="424"/>
      <c r="AT179" s="245"/>
    </row>
    <row r="180" spans="1:46" ht="13.5">
      <c r="A180" s="245"/>
      <c r="B180" s="245"/>
      <c r="C180" s="245"/>
      <c r="D180" s="245"/>
      <c r="E180" s="245"/>
      <c r="F180" s="245"/>
      <c r="G180" s="245"/>
      <c r="H180" s="245"/>
      <c r="I180" s="245"/>
      <c r="J180" s="245"/>
      <c r="K180" s="245"/>
      <c r="L180" s="245"/>
      <c r="AC180" s="213"/>
      <c r="AN180" s="426"/>
      <c r="AO180" s="426"/>
      <c r="AP180" s="426"/>
      <c r="AQ180" s="424"/>
      <c r="AR180" s="424"/>
      <c r="AS180" s="424"/>
      <c r="AT180" s="245"/>
    </row>
    <row r="181" spans="1:46" ht="13.5">
      <c r="A181" s="245"/>
      <c r="B181" s="245"/>
      <c r="C181" s="245"/>
      <c r="D181" s="245"/>
      <c r="E181" s="245"/>
      <c r="F181" s="245"/>
      <c r="G181" s="245"/>
      <c r="H181" s="245"/>
      <c r="I181" s="245"/>
      <c r="J181" s="245"/>
      <c r="K181" s="245"/>
      <c r="L181" s="245"/>
      <c r="AC181" s="213"/>
      <c r="AN181" s="426"/>
      <c r="AO181" s="426"/>
      <c r="AP181" s="426"/>
      <c r="AQ181" s="424"/>
      <c r="AR181" s="424"/>
      <c r="AS181" s="424"/>
      <c r="AT181" s="245"/>
    </row>
    <row r="182" spans="1:46" ht="13.5">
      <c r="A182" s="245"/>
      <c r="B182" s="245"/>
      <c r="C182" s="245"/>
      <c r="D182" s="245"/>
      <c r="E182" s="245"/>
      <c r="F182" s="245"/>
      <c r="G182" s="245"/>
      <c r="H182" s="245"/>
      <c r="I182" s="245"/>
      <c r="J182" s="245"/>
      <c r="K182" s="245"/>
      <c r="L182" s="245"/>
      <c r="AC182" s="213"/>
      <c r="AN182" s="426"/>
      <c r="AO182" s="426"/>
      <c r="AP182" s="426"/>
      <c r="AQ182" s="424"/>
      <c r="AR182" s="424"/>
      <c r="AS182" s="424"/>
      <c r="AT182" s="245"/>
    </row>
    <row r="183" spans="1:46" ht="13.5">
      <c r="A183" s="245"/>
      <c r="B183" s="245"/>
      <c r="C183" s="245"/>
      <c r="D183" s="245"/>
      <c r="E183" s="245"/>
      <c r="F183" s="245"/>
      <c r="G183" s="245"/>
      <c r="H183" s="245"/>
      <c r="I183" s="245"/>
      <c r="J183" s="245"/>
      <c r="K183" s="245"/>
      <c r="L183" s="245"/>
      <c r="AC183" s="213"/>
      <c r="AN183" s="426"/>
      <c r="AO183" s="426"/>
      <c r="AP183" s="426"/>
      <c r="AQ183" s="424"/>
      <c r="AR183" s="424"/>
      <c r="AS183" s="424"/>
      <c r="AT183" s="245"/>
    </row>
    <row r="184" spans="1:46" ht="13.5">
      <c r="A184" s="245"/>
      <c r="B184" s="245"/>
      <c r="C184" s="245"/>
      <c r="D184" s="245"/>
      <c r="E184" s="245"/>
      <c r="F184" s="245"/>
      <c r="G184" s="245"/>
      <c r="H184" s="245"/>
      <c r="I184" s="245"/>
      <c r="J184" s="245"/>
      <c r="K184" s="245"/>
      <c r="L184" s="245"/>
      <c r="AC184" s="213"/>
      <c r="AN184" s="426"/>
      <c r="AO184" s="426"/>
      <c r="AP184" s="426"/>
      <c r="AQ184" s="424"/>
      <c r="AR184" s="424"/>
      <c r="AS184" s="424"/>
      <c r="AT184" s="245"/>
    </row>
    <row r="185" spans="1:46" ht="13.5">
      <c r="A185" s="245"/>
      <c r="B185" s="245"/>
      <c r="C185" s="245"/>
      <c r="D185" s="245"/>
      <c r="E185" s="245"/>
      <c r="F185" s="245"/>
      <c r="G185" s="245"/>
      <c r="H185" s="245"/>
      <c r="I185" s="245"/>
      <c r="J185" s="245"/>
      <c r="K185" s="245"/>
      <c r="L185" s="245"/>
      <c r="AC185" s="213"/>
      <c r="AN185" s="426"/>
      <c r="AO185" s="426"/>
      <c r="AP185" s="426"/>
      <c r="AQ185" s="424"/>
      <c r="AR185" s="424"/>
      <c r="AS185" s="424"/>
      <c r="AT185" s="245"/>
    </row>
    <row r="186" spans="1:46" ht="13.5">
      <c r="A186" s="245"/>
      <c r="B186" s="245"/>
      <c r="C186" s="245"/>
      <c r="D186" s="245"/>
      <c r="E186" s="245"/>
      <c r="F186" s="245"/>
      <c r="G186" s="245"/>
      <c r="H186" s="245"/>
      <c r="I186" s="245"/>
      <c r="J186" s="245"/>
      <c r="K186" s="245"/>
      <c r="L186" s="245"/>
      <c r="AC186" s="213"/>
      <c r="AN186" s="426"/>
      <c r="AO186" s="426"/>
      <c r="AP186" s="426"/>
      <c r="AQ186" s="424"/>
      <c r="AR186" s="424"/>
      <c r="AS186" s="424"/>
      <c r="AT186" s="245"/>
    </row>
    <row r="187" spans="1:46" ht="13.5">
      <c r="A187" s="245"/>
      <c r="B187" s="245"/>
      <c r="C187" s="245"/>
      <c r="D187" s="245"/>
      <c r="E187" s="245"/>
      <c r="F187" s="245"/>
      <c r="G187" s="245"/>
      <c r="H187" s="245"/>
      <c r="I187" s="245"/>
      <c r="J187" s="245"/>
      <c r="K187" s="245"/>
      <c r="L187" s="245"/>
      <c r="AC187" s="213"/>
      <c r="AN187" s="426"/>
      <c r="AO187" s="426"/>
      <c r="AP187" s="426"/>
      <c r="AQ187" s="424"/>
      <c r="AR187" s="424"/>
      <c r="AS187" s="424"/>
      <c r="AT187" s="245"/>
    </row>
    <row r="188" spans="1:46" ht="13.5">
      <c r="A188" s="245"/>
      <c r="B188" s="245"/>
      <c r="C188" s="245"/>
      <c r="D188" s="245"/>
      <c r="E188" s="245"/>
      <c r="F188" s="245"/>
      <c r="G188" s="245"/>
      <c r="H188" s="245"/>
      <c r="I188" s="245"/>
      <c r="J188" s="245"/>
      <c r="K188" s="245"/>
      <c r="L188" s="245"/>
      <c r="AC188" s="213"/>
      <c r="AN188" s="426"/>
      <c r="AO188" s="426"/>
      <c r="AP188" s="426"/>
      <c r="AQ188" s="424"/>
      <c r="AR188" s="424"/>
      <c r="AS188" s="424"/>
      <c r="AT188" s="245"/>
    </row>
    <row r="189" spans="1:46" ht="13.5">
      <c r="A189" s="245"/>
      <c r="B189" s="245"/>
      <c r="C189" s="245"/>
      <c r="D189" s="245"/>
      <c r="E189" s="245"/>
      <c r="F189" s="245"/>
      <c r="G189" s="245"/>
      <c r="H189" s="245"/>
      <c r="I189" s="245"/>
      <c r="J189" s="245"/>
      <c r="K189" s="245"/>
      <c r="L189" s="245"/>
      <c r="AC189" s="213"/>
      <c r="AN189" s="426"/>
      <c r="AO189" s="426"/>
      <c r="AP189" s="426"/>
      <c r="AQ189" s="424"/>
      <c r="AR189" s="424"/>
      <c r="AS189" s="424"/>
      <c r="AT189" s="245"/>
    </row>
    <row r="190" spans="1:46" ht="13.5">
      <c r="A190" s="245"/>
      <c r="B190" s="245"/>
      <c r="C190" s="245"/>
      <c r="D190" s="245"/>
      <c r="E190" s="245"/>
      <c r="F190" s="245"/>
      <c r="G190" s="245"/>
      <c r="H190" s="245"/>
      <c r="I190" s="245"/>
      <c r="J190" s="245"/>
      <c r="K190" s="245"/>
      <c r="L190" s="245"/>
      <c r="AC190" s="213"/>
      <c r="AN190" s="426"/>
      <c r="AO190" s="426"/>
      <c r="AP190" s="426"/>
      <c r="AQ190" s="424"/>
      <c r="AR190" s="424"/>
      <c r="AS190" s="424"/>
      <c r="AT190" s="245"/>
    </row>
    <row r="191" spans="1:46" ht="13.5">
      <c r="A191" s="245"/>
      <c r="B191" s="245"/>
      <c r="C191" s="245"/>
      <c r="D191" s="245"/>
      <c r="E191" s="245"/>
      <c r="F191" s="245"/>
      <c r="G191" s="245"/>
      <c r="H191" s="245"/>
      <c r="I191" s="245"/>
      <c r="J191" s="245"/>
      <c r="K191" s="245"/>
      <c r="L191" s="245"/>
      <c r="AC191" s="213"/>
      <c r="AN191" s="426"/>
      <c r="AO191" s="426"/>
      <c r="AP191" s="426"/>
      <c r="AQ191" s="424"/>
      <c r="AR191" s="424"/>
      <c r="AS191" s="424"/>
      <c r="AT191" s="245"/>
    </row>
    <row r="192" spans="1:46" ht="13.5">
      <c r="A192" s="245"/>
      <c r="B192" s="245"/>
      <c r="C192" s="245"/>
      <c r="D192" s="245"/>
      <c r="E192" s="245"/>
      <c r="F192" s="245"/>
      <c r="G192" s="245"/>
      <c r="H192" s="245"/>
      <c r="I192" s="245"/>
      <c r="J192" s="245"/>
      <c r="K192" s="245"/>
      <c r="L192" s="245"/>
      <c r="AC192" s="213"/>
      <c r="AN192" s="426"/>
      <c r="AO192" s="426"/>
      <c r="AP192" s="426"/>
      <c r="AQ192" s="424"/>
      <c r="AR192" s="424"/>
      <c r="AS192" s="424"/>
      <c r="AT192" s="245"/>
    </row>
    <row r="193" spans="1:46" ht="13.5">
      <c r="A193" s="245"/>
      <c r="B193" s="245"/>
      <c r="C193" s="245"/>
      <c r="D193" s="245"/>
      <c r="E193" s="245"/>
      <c r="F193" s="245"/>
      <c r="G193" s="245"/>
      <c r="H193" s="245"/>
      <c r="I193" s="245"/>
      <c r="J193" s="245"/>
      <c r="K193" s="245"/>
      <c r="L193" s="245"/>
      <c r="AC193" s="213"/>
      <c r="AN193" s="426"/>
      <c r="AO193" s="426"/>
      <c r="AP193" s="426"/>
      <c r="AQ193" s="424"/>
      <c r="AR193" s="424"/>
      <c r="AS193" s="424"/>
      <c r="AT193" s="245"/>
    </row>
    <row r="194" spans="1:46" ht="13.5">
      <c r="A194" s="245"/>
      <c r="B194" s="245"/>
      <c r="C194" s="245"/>
      <c r="D194" s="245"/>
      <c r="E194" s="245"/>
      <c r="F194" s="245"/>
      <c r="G194" s="245"/>
      <c r="H194" s="245"/>
      <c r="I194" s="245"/>
      <c r="J194" s="245"/>
      <c r="K194" s="245"/>
      <c r="L194" s="245"/>
      <c r="AC194" s="213"/>
      <c r="AN194" s="426"/>
      <c r="AO194" s="426"/>
      <c r="AP194" s="426"/>
      <c r="AQ194" s="424"/>
      <c r="AR194" s="424"/>
      <c r="AS194" s="424"/>
      <c r="AT194" s="245"/>
    </row>
    <row r="195" spans="1:46" ht="13.5">
      <c r="A195" s="245"/>
      <c r="B195" s="245"/>
      <c r="C195" s="245"/>
      <c r="D195" s="245"/>
      <c r="E195" s="245"/>
      <c r="F195" s="245"/>
      <c r="G195" s="245"/>
      <c r="H195" s="245"/>
      <c r="I195" s="245"/>
      <c r="J195" s="245"/>
      <c r="K195" s="245"/>
      <c r="L195" s="245"/>
      <c r="AC195" s="213"/>
      <c r="AN195" s="426"/>
      <c r="AO195" s="426"/>
      <c r="AP195" s="426"/>
      <c r="AQ195" s="424"/>
      <c r="AR195" s="424"/>
      <c r="AS195" s="424"/>
      <c r="AT195" s="245"/>
    </row>
    <row r="196" spans="1:46" ht="13.5">
      <c r="A196" s="245"/>
      <c r="B196" s="245"/>
      <c r="C196" s="245"/>
      <c r="D196" s="245"/>
      <c r="E196" s="245"/>
      <c r="F196" s="245"/>
      <c r="G196" s="245"/>
      <c r="H196" s="245"/>
      <c r="I196" s="245"/>
      <c r="J196" s="245"/>
      <c r="K196" s="245"/>
      <c r="L196" s="245"/>
      <c r="AC196" s="213"/>
      <c r="AN196" s="426"/>
      <c r="AO196" s="426"/>
      <c r="AP196" s="426"/>
      <c r="AQ196" s="424"/>
      <c r="AR196" s="424"/>
      <c r="AS196" s="424"/>
      <c r="AT196" s="245"/>
    </row>
    <row r="197" spans="1:46" ht="13.5">
      <c r="A197" s="245"/>
      <c r="B197" s="245"/>
      <c r="C197" s="245"/>
      <c r="D197" s="245"/>
      <c r="E197" s="245"/>
      <c r="F197" s="245"/>
      <c r="G197" s="245"/>
      <c r="H197" s="245"/>
      <c r="I197" s="245"/>
      <c r="J197" s="245"/>
      <c r="K197" s="245"/>
      <c r="L197" s="245"/>
      <c r="AC197" s="213"/>
      <c r="AN197" s="426"/>
      <c r="AO197" s="426"/>
      <c r="AP197" s="426"/>
      <c r="AQ197" s="424"/>
      <c r="AR197" s="424"/>
      <c r="AS197" s="424"/>
      <c r="AT197" s="245"/>
    </row>
    <row r="198" spans="1:46" ht="13.5">
      <c r="A198" s="245"/>
      <c r="B198" s="245"/>
      <c r="C198" s="245"/>
      <c r="D198" s="245"/>
      <c r="E198" s="245"/>
      <c r="F198" s="245"/>
      <c r="G198" s="245"/>
      <c r="H198" s="245"/>
      <c r="I198" s="245"/>
      <c r="J198" s="245"/>
      <c r="K198" s="245"/>
      <c r="L198" s="245"/>
      <c r="AC198" s="213"/>
      <c r="AN198" s="426"/>
      <c r="AO198" s="426"/>
      <c r="AP198" s="426"/>
      <c r="AQ198" s="424"/>
      <c r="AR198" s="424"/>
      <c r="AS198" s="424"/>
      <c r="AT198" s="245"/>
    </row>
    <row r="199" spans="1:46" ht="13.5">
      <c r="A199" s="245"/>
      <c r="B199" s="245"/>
      <c r="C199" s="245"/>
      <c r="D199" s="245"/>
      <c r="E199" s="245"/>
      <c r="F199" s="245"/>
      <c r="G199" s="245"/>
      <c r="H199" s="245"/>
      <c r="I199" s="245"/>
      <c r="J199" s="245"/>
      <c r="K199" s="245"/>
      <c r="L199" s="245"/>
      <c r="AC199" s="213"/>
      <c r="AN199" s="426"/>
      <c r="AO199" s="426"/>
      <c r="AP199" s="426"/>
      <c r="AQ199" s="424"/>
      <c r="AR199" s="424"/>
      <c r="AS199" s="424"/>
      <c r="AT199" s="245"/>
    </row>
    <row r="200" spans="1:46" ht="13.5">
      <c r="A200" s="245"/>
      <c r="B200" s="245"/>
      <c r="C200" s="245"/>
      <c r="D200" s="245"/>
      <c r="E200" s="245"/>
      <c r="F200" s="245"/>
      <c r="G200" s="245"/>
      <c r="H200" s="245"/>
      <c r="I200" s="245"/>
      <c r="J200" s="245"/>
      <c r="K200" s="245"/>
      <c r="L200" s="245"/>
      <c r="AC200" s="213"/>
      <c r="AN200" s="426"/>
      <c r="AO200" s="426"/>
      <c r="AP200" s="426"/>
      <c r="AQ200" s="424"/>
      <c r="AR200" s="424"/>
      <c r="AS200" s="424"/>
      <c r="AT200" s="245"/>
    </row>
    <row r="201" spans="1:46" ht="13.5">
      <c r="A201" s="245"/>
      <c r="B201" s="245"/>
      <c r="C201" s="245"/>
      <c r="D201" s="245"/>
      <c r="E201" s="245"/>
      <c r="F201" s="245"/>
      <c r="G201" s="245"/>
      <c r="H201" s="245"/>
      <c r="I201" s="245"/>
      <c r="J201" s="245"/>
      <c r="K201" s="245"/>
      <c r="L201" s="245"/>
      <c r="AC201" s="213"/>
      <c r="AN201" s="426"/>
      <c r="AO201" s="426"/>
      <c r="AP201" s="426"/>
      <c r="AQ201" s="424"/>
      <c r="AR201" s="424"/>
      <c r="AS201" s="424"/>
      <c r="AT201" s="245"/>
    </row>
    <row r="202" spans="1:46" ht="13.5">
      <c r="A202" s="245"/>
      <c r="B202" s="245"/>
      <c r="C202" s="245"/>
      <c r="D202" s="245"/>
      <c r="E202" s="245"/>
      <c r="F202" s="245"/>
      <c r="G202" s="245"/>
      <c r="H202" s="245"/>
      <c r="I202" s="245"/>
      <c r="J202" s="245"/>
      <c r="K202" s="245"/>
      <c r="L202" s="245"/>
      <c r="AC202" s="213"/>
      <c r="AN202" s="426"/>
      <c r="AO202" s="426"/>
      <c r="AP202" s="426"/>
      <c r="AQ202" s="424"/>
      <c r="AR202" s="424"/>
      <c r="AS202" s="424"/>
      <c r="AT202" s="245"/>
    </row>
    <row r="203" spans="1:46" ht="13.5">
      <c r="A203" s="245"/>
      <c r="B203" s="245"/>
      <c r="C203" s="245"/>
      <c r="D203" s="245"/>
      <c r="E203" s="245"/>
      <c r="F203" s="245"/>
      <c r="G203" s="245"/>
      <c r="H203" s="245"/>
      <c r="I203" s="245"/>
      <c r="J203" s="245"/>
      <c r="K203" s="245"/>
      <c r="L203" s="245"/>
      <c r="AC203" s="213"/>
      <c r="AN203" s="426"/>
      <c r="AO203" s="426"/>
      <c r="AP203" s="426"/>
      <c r="AQ203" s="424"/>
      <c r="AR203" s="424"/>
      <c r="AS203" s="424"/>
      <c r="AT203" s="245"/>
    </row>
    <row r="204" spans="1:46" ht="13.5">
      <c r="A204" s="245"/>
      <c r="B204" s="245"/>
      <c r="C204" s="245"/>
      <c r="D204" s="245"/>
      <c r="E204" s="245"/>
      <c r="F204" s="245"/>
      <c r="G204" s="245"/>
      <c r="H204" s="245"/>
      <c r="I204" s="245"/>
      <c r="J204" s="245"/>
      <c r="K204" s="245"/>
      <c r="L204" s="245"/>
      <c r="AC204" s="213"/>
      <c r="AN204" s="426"/>
      <c r="AO204" s="426"/>
      <c r="AP204" s="426"/>
      <c r="AQ204" s="424"/>
      <c r="AR204" s="424"/>
      <c r="AS204" s="424"/>
      <c r="AT204" s="245"/>
    </row>
    <row r="205" spans="1:46" ht="13.5">
      <c r="A205" s="245"/>
      <c r="B205" s="245"/>
      <c r="C205" s="245"/>
      <c r="D205" s="245"/>
      <c r="E205" s="245"/>
      <c r="F205" s="245"/>
      <c r="G205" s="245"/>
      <c r="H205" s="245"/>
      <c r="I205" s="245"/>
      <c r="J205" s="245"/>
      <c r="K205" s="245"/>
      <c r="L205" s="245"/>
      <c r="AC205" s="213"/>
      <c r="AN205" s="426"/>
      <c r="AO205" s="426"/>
      <c r="AP205" s="426"/>
      <c r="AQ205" s="424"/>
      <c r="AR205" s="424"/>
      <c r="AS205" s="424"/>
      <c r="AT205" s="245"/>
    </row>
    <row r="206" spans="1:46" ht="13.5">
      <c r="A206" s="245"/>
      <c r="B206" s="245"/>
      <c r="C206" s="245"/>
      <c r="D206" s="245"/>
      <c r="E206" s="245"/>
      <c r="F206" s="245"/>
      <c r="G206" s="245"/>
      <c r="H206" s="245"/>
      <c r="I206" s="245"/>
      <c r="J206" s="245"/>
      <c r="K206" s="245"/>
      <c r="L206" s="245"/>
      <c r="AC206" s="213"/>
      <c r="AN206" s="426"/>
      <c r="AO206" s="426"/>
      <c r="AP206" s="426"/>
      <c r="AQ206" s="424"/>
      <c r="AR206" s="424"/>
      <c r="AS206" s="424"/>
      <c r="AT206" s="245"/>
    </row>
    <row r="207" spans="1:46" ht="13.5">
      <c r="A207" s="245"/>
      <c r="B207" s="245"/>
      <c r="C207" s="245"/>
      <c r="D207" s="245"/>
      <c r="E207" s="245"/>
      <c r="F207" s="245"/>
      <c r="G207" s="245"/>
      <c r="H207" s="245"/>
      <c r="I207" s="245"/>
      <c r="J207" s="245"/>
      <c r="K207" s="245"/>
      <c r="L207" s="245"/>
      <c r="AC207" s="213"/>
      <c r="AN207" s="426"/>
      <c r="AO207" s="426"/>
      <c r="AP207" s="426"/>
      <c r="AQ207" s="424"/>
      <c r="AR207" s="424"/>
      <c r="AS207" s="424"/>
      <c r="AT207" s="245"/>
    </row>
    <row r="208" spans="1:46" ht="13.5">
      <c r="A208" s="245"/>
      <c r="B208" s="245"/>
      <c r="C208" s="245"/>
      <c r="D208" s="245"/>
      <c r="E208" s="245"/>
      <c r="F208" s="245"/>
      <c r="G208" s="245"/>
      <c r="H208" s="245"/>
      <c r="I208" s="245"/>
      <c r="J208" s="245"/>
      <c r="K208" s="245"/>
      <c r="L208" s="245"/>
      <c r="AC208" s="213"/>
      <c r="AN208" s="426"/>
      <c r="AO208" s="426"/>
      <c r="AP208" s="426"/>
      <c r="AQ208" s="424"/>
      <c r="AR208" s="424"/>
      <c r="AS208" s="424"/>
      <c r="AT208" s="245"/>
    </row>
    <row r="209" spans="1:46" ht="13.5">
      <c r="A209" s="245"/>
      <c r="B209" s="245"/>
      <c r="C209" s="245"/>
      <c r="D209" s="245"/>
      <c r="E209" s="245"/>
      <c r="F209" s="245"/>
      <c r="G209" s="245"/>
      <c r="H209" s="245"/>
      <c r="I209" s="245"/>
      <c r="J209" s="245"/>
      <c r="K209" s="245"/>
      <c r="L209" s="245"/>
      <c r="AC209" s="213"/>
      <c r="AN209" s="426"/>
      <c r="AO209" s="426"/>
      <c r="AP209" s="426"/>
      <c r="AQ209" s="424"/>
      <c r="AR209" s="424"/>
      <c r="AS209" s="424"/>
      <c r="AT209" s="245"/>
    </row>
    <row r="210" spans="1:46" ht="13.5">
      <c r="A210" s="245"/>
      <c r="B210" s="245"/>
      <c r="C210" s="245"/>
      <c r="D210" s="245"/>
      <c r="E210" s="245"/>
      <c r="F210" s="245"/>
      <c r="G210" s="245"/>
      <c r="H210" s="245"/>
      <c r="I210" s="245"/>
      <c r="J210" s="245"/>
      <c r="K210" s="245"/>
      <c r="L210" s="245"/>
      <c r="AC210" s="213"/>
      <c r="AN210" s="426"/>
      <c r="AO210" s="426"/>
      <c r="AP210" s="426"/>
      <c r="AQ210" s="424"/>
      <c r="AR210" s="424"/>
      <c r="AS210" s="424"/>
      <c r="AT210" s="245"/>
    </row>
    <row r="211" spans="1:46" ht="13.5">
      <c r="A211" s="245"/>
      <c r="B211" s="245"/>
      <c r="C211" s="245"/>
      <c r="D211" s="245"/>
      <c r="E211" s="245"/>
      <c r="F211" s="245"/>
      <c r="G211" s="245"/>
      <c r="H211" s="245"/>
      <c r="I211" s="245"/>
      <c r="J211" s="245"/>
      <c r="K211" s="245"/>
      <c r="L211" s="245"/>
      <c r="AC211" s="213"/>
      <c r="AN211" s="426"/>
      <c r="AO211" s="426"/>
      <c r="AP211" s="426"/>
      <c r="AQ211" s="424"/>
      <c r="AR211" s="424"/>
      <c r="AS211" s="424"/>
      <c r="AT211" s="245"/>
    </row>
    <row r="212" spans="1:46" ht="13.5">
      <c r="A212" s="245"/>
      <c r="B212" s="245"/>
      <c r="C212" s="245"/>
      <c r="D212" s="245"/>
      <c r="E212" s="245"/>
      <c r="F212" s="245"/>
      <c r="G212" s="245"/>
      <c r="H212" s="245"/>
      <c r="I212" s="245"/>
      <c r="J212" s="245"/>
      <c r="K212" s="245"/>
      <c r="L212" s="245"/>
      <c r="AC212" s="213"/>
      <c r="AN212" s="426"/>
      <c r="AO212" s="426"/>
      <c r="AP212" s="426"/>
      <c r="AQ212" s="424"/>
      <c r="AR212" s="424"/>
      <c r="AS212" s="424"/>
      <c r="AT212" s="245"/>
    </row>
    <row r="213" spans="1:46" ht="13.5">
      <c r="A213" s="245"/>
      <c r="B213" s="245"/>
      <c r="C213" s="245"/>
      <c r="D213" s="245"/>
      <c r="E213" s="245"/>
      <c r="F213" s="245"/>
      <c r="G213" s="245"/>
      <c r="H213" s="245"/>
      <c r="I213" s="245"/>
      <c r="J213" s="245"/>
      <c r="K213" s="245"/>
      <c r="L213" s="245"/>
      <c r="AC213" s="213"/>
      <c r="AN213" s="426"/>
      <c r="AO213" s="426"/>
      <c r="AP213" s="426"/>
      <c r="AQ213" s="424"/>
      <c r="AR213" s="424"/>
      <c r="AS213" s="424"/>
      <c r="AT213" s="245"/>
    </row>
    <row r="214" spans="1:46" ht="13.5">
      <c r="A214" s="245"/>
      <c r="B214" s="245"/>
      <c r="C214" s="245"/>
      <c r="D214" s="245"/>
      <c r="E214" s="245"/>
      <c r="F214" s="245"/>
      <c r="G214" s="245"/>
      <c r="H214" s="245"/>
      <c r="I214" s="245"/>
      <c r="J214" s="245"/>
      <c r="K214" s="245"/>
      <c r="L214" s="245"/>
      <c r="AC214" s="213"/>
      <c r="AN214" s="426"/>
      <c r="AO214" s="426"/>
      <c r="AP214" s="426"/>
      <c r="AQ214" s="424"/>
      <c r="AR214" s="424"/>
      <c r="AS214" s="424"/>
      <c r="AT214" s="245"/>
    </row>
    <row r="215" spans="1:46" ht="13.5">
      <c r="A215" s="245"/>
      <c r="B215" s="245"/>
      <c r="C215" s="245"/>
      <c r="D215" s="245"/>
      <c r="E215" s="245"/>
      <c r="F215" s="245"/>
      <c r="G215" s="245"/>
      <c r="H215" s="245"/>
      <c r="I215" s="245"/>
      <c r="J215" s="245"/>
      <c r="K215" s="245"/>
      <c r="L215" s="245"/>
      <c r="AC215" s="213"/>
      <c r="AN215" s="426"/>
      <c r="AO215" s="426"/>
      <c r="AP215" s="426"/>
      <c r="AQ215" s="424"/>
      <c r="AR215" s="424"/>
      <c r="AS215" s="424"/>
      <c r="AT215" s="245"/>
    </row>
    <row r="216" spans="1:46" ht="13.5">
      <c r="A216" s="245"/>
      <c r="B216" s="245"/>
      <c r="C216" s="245"/>
      <c r="D216" s="245"/>
      <c r="E216" s="245"/>
      <c r="F216" s="245"/>
      <c r="G216" s="245"/>
      <c r="H216" s="245"/>
      <c r="I216" s="245"/>
      <c r="J216" s="245"/>
      <c r="K216" s="245"/>
      <c r="L216" s="245"/>
      <c r="AC216" s="213"/>
      <c r="AN216" s="426"/>
      <c r="AO216" s="426"/>
      <c r="AP216" s="426"/>
      <c r="AQ216" s="424"/>
      <c r="AR216" s="424"/>
      <c r="AS216" s="424"/>
      <c r="AT216" s="245"/>
    </row>
    <row r="217" spans="1:46" ht="13.5">
      <c r="A217" s="245"/>
      <c r="B217" s="245"/>
      <c r="C217" s="245"/>
      <c r="D217" s="245"/>
      <c r="E217" s="245"/>
      <c r="F217" s="245"/>
      <c r="G217" s="245"/>
      <c r="H217" s="245"/>
      <c r="I217" s="245"/>
      <c r="J217" s="245"/>
      <c r="K217" s="245"/>
      <c r="L217" s="245"/>
      <c r="AC217" s="213"/>
      <c r="AN217" s="426"/>
      <c r="AO217" s="426"/>
      <c r="AP217" s="426"/>
      <c r="AQ217" s="424"/>
      <c r="AR217" s="424"/>
      <c r="AS217" s="424"/>
      <c r="AT217" s="245"/>
    </row>
    <row r="218" spans="1:46" ht="13.5">
      <c r="A218" s="245"/>
      <c r="B218" s="245"/>
      <c r="C218" s="245"/>
      <c r="D218" s="245"/>
      <c r="E218" s="245"/>
      <c r="F218" s="245"/>
      <c r="G218" s="245"/>
      <c r="H218" s="245"/>
      <c r="I218" s="245"/>
      <c r="J218" s="245"/>
      <c r="K218" s="245"/>
      <c r="L218" s="245"/>
      <c r="AC218" s="213"/>
      <c r="AN218" s="426"/>
      <c r="AO218" s="426"/>
      <c r="AP218" s="426"/>
      <c r="AQ218" s="424"/>
      <c r="AR218" s="424"/>
      <c r="AS218" s="424"/>
      <c r="AT218" s="245"/>
    </row>
    <row r="219" spans="1:46" ht="13.5">
      <c r="A219" s="245"/>
      <c r="B219" s="245"/>
      <c r="C219" s="245"/>
      <c r="D219" s="245"/>
      <c r="E219" s="245"/>
      <c r="F219" s="245"/>
      <c r="G219" s="245"/>
      <c r="H219" s="245"/>
      <c r="I219" s="245"/>
      <c r="J219" s="245"/>
      <c r="K219" s="245"/>
      <c r="L219" s="245"/>
      <c r="AC219" s="213"/>
      <c r="AN219" s="426"/>
      <c r="AO219" s="426"/>
      <c r="AP219" s="426"/>
      <c r="AQ219" s="424"/>
      <c r="AR219" s="424"/>
      <c r="AS219" s="424"/>
      <c r="AT219" s="245"/>
    </row>
    <row r="220" spans="1:46" ht="13.5">
      <c r="A220" s="245"/>
      <c r="B220" s="245"/>
      <c r="C220" s="245"/>
      <c r="D220" s="245"/>
      <c r="E220" s="245"/>
      <c r="F220" s="245"/>
      <c r="G220" s="245"/>
      <c r="H220" s="245"/>
      <c r="I220" s="245"/>
      <c r="J220" s="245"/>
      <c r="K220" s="245"/>
      <c r="L220" s="245"/>
      <c r="AC220" s="213"/>
      <c r="AN220" s="426"/>
      <c r="AO220" s="426"/>
      <c r="AP220" s="426"/>
      <c r="AQ220" s="424"/>
      <c r="AR220" s="424"/>
      <c r="AS220" s="424"/>
      <c r="AT220" s="245"/>
    </row>
    <row r="221" spans="1:46" ht="13.5">
      <c r="A221" s="245"/>
      <c r="B221" s="245"/>
      <c r="C221" s="245"/>
      <c r="D221" s="245"/>
      <c r="E221" s="245"/>
      <c r="F221" s="245"/>
      <c r="G221" s="245"/>
      <c r="H221" s="245"/>
      <c r="I221" s="245"/>
      <c r="J221" s="245"/>
      <c r="K221" s="245"/>
      <c r="L221" s="245"/>
      <c r="AC221" s="213"/>
      <c r="AN221" s="426"/>
      <c r="AO221" s="426"/>
      <c r="AP221" s="426"/>
      <c r="AQ221" s="424"/>
      <c r="AR221" s="424"/>
      <c r="AS221" s="424"/>
      <c r="AT221" s="245"/>
    </row>
    <row r="222" spans="1:46" ht="13.5">
      <c r="A222" s="245"/>
      <c r="B222" s="245"/>
      <c r="C222" s="245"/>
      <c r="D222" s="245"/>
      <c r="E222" s="245"/>
      <c r="F222" s="245"/>
      <c r="G222" s="245"/>
      <c r="H222" s="245"/>
      <c r="I222" s="245"/>
      <c r="J222" s="245"/>
      <c r="K222" s="245"/>
      <c r="L222" s="245"/>
      <c r="AC222" s="213"/>
      <c r="AN222" s="426"/>
      <c r="AO222" s="426"/>
      <c r="AP222" s="426"/>
      <c r="AQ222" s="424"/>
      <c r="AR222" s="424"/>
      <c r="AS222" s="424"/>
      <c r="AT222" s="245"/>
    </row>
    <row r="223" spans="1:46" ht="13.5">
      <c r="A223" s="245"/>
      <c r="B223" s="245"/>
      <c r="C223" s="245"/>
      <c r="D223" s="245"/>
      <c r="E223" s="245"/>
      <c r="F223" s="245"/>
      <c r="G223" s="245"/>
      <c r="H223" s="245"/>
      <c r="I223" s="245"/>
      <c r="J223" s="245"/>
      <c r="K223" s="245"/>
      <c r="L223" s="245"/>
      <c r="AC223" s="213"/>
      <c r="AN223" s="426"/>
      <c r="AO223" s="426"/>
      <c r="AP223" s="426"/>
      <c r="AQ223" s="424"/>
      <c r="AR223" s="424"/>
      <c r="AS223" s="424"/>
      <c r="AT223" s="245"/>
    </row>
    <row r="224" spans="1:46" ht="13.5">
      <c r="A224" s="245"/>
      <c r="B224" s="245"/>
      <c r="C224" s="245"/>
      <c r="D224" s="245"/>
      <c r="E224" s="245"/>
      <c r="F224" s="245"/>
      <c r="G224" s="245"/>
      <c r="H224" s="245"/>
      <c r="I224" s="245"/>
      <c r="J224" s="245"/>
      <c r="K224" s="245"/>
      <c r="L224" s="245"/>
      <c r="AC224" s="213"/>
      <c r="AN224" s="426"/>
      <c r="AO224" s="426"/>
      <c r="AP224" s="426"/>
      <c r="AQ224" s="424"/>
      <c r="AR224" s="424"/>
      <c r="AS224" s="424"/>
      <c r="AT224" s="245"/>
    </row>
    <row r="225" spans="1:46" ht="13.5">
      <c r="A225" s="245"/>
      <c r="B225" s="245"/>
      <c r="C225" s="245"/>
      <c r="D225" s="245"/>
      <c r="E225" s="245"/>
      <c r="F225" s="245"/>
      <c r="G225" s="245"/>
      <c r="H225" s="245"/>
      <c r="I225" s="245"/>
      <c r="J225" s="245"/>
      <c r="K225" s="245"/>
      <c r="L225" s="245"/>
      <c r="AC225" s="213"/>
      <c r="AN225" s="426"/>
      <c r="AO225" s="426"/>
      <c r="AP225" s="426"/>
      <c r="AQ225" s="424"/>
      <c r="AR225" s="424"/>
      <c r="AS225" s="424"/>
      <c r="AT225" s="245"/>
    </row>
    <row r="226" spans="1:46" ht="13.5">
      <c r="A226" s="245"/>
      <c r="B226" s="245"/>
      <c r="C226" s="245"/>
      <c r="D226" s="245"/>
      <c r="E226" s="245"/>
      <c r="F226" s="245"/>
      <c r="G226" s="245"/>
      <c r="H226" s="245"/>
      <c r="I226" s="245"/>
      <c r="J226" s="245"/>
      <c r="K226" s="245"/>
      <c r="L226" s="245"/>
      <c r="AC226" s="213"/>
      <c r="AN226" s="426"/>
      <c r="AO226" s="426"/>
      <c r="AP226" s="426"/>
      <c r="AQ226" s="424"/>
      <c r="AR226" s="424"/>
      <c r="AS226" s="424"/>
      <c r="AT226" s="245"/>
    </row>
    <row r="227" spans="1:46" ht="13.5">
      <c r="A227" s="245"/>
      <c r="B227" s="245"/>
      <c r="C227" s="245"/>
      <c r="D227" s="245"/>
      <c r="E227" s="245"/>
      <c r="F227" s="245"/>
      <c r="G227" s="245"/>
      <c r="H227" s="245"/>
      <c r="I227" s="245"/>
      <c r="J227" s="245"/>
      <c r="K227" s="245"/>
      <c r="L227" s="245"/>
      <c r="AC227" s="213"/>
      <c r="AN227" s="426"/>
      <c r="AO227" s="426"/>
      <c r="AP227" s="426"/>
      <c r="AQ227" s="424"/>
      <c r="AR227" s="424"/>
      <c r="AS227" s="424"/>
      <c r="AT227" s="245"/>
    </row>
    <row r="228" spans="1:46" ht="13.5">
      <c r="A228" s="245"/>
      <c r="B228" s="245"/>
      <c r="C228" s="245"/>
      <c r="D228" s="245"/>
      <c r="E228" s="245"/>
      <c r="F228" s="245"/>
      <c r="G228" s="245"/>
      <c r="H228" s="245"/>
      <c r="I228" s="245"/>
      <c r="J228" s="245"/>
      <c r="K228" s="245"/>
      <c r="L228" s="245"/>
      <c r="AC228" s="213"/>
      <c r="AN228" s="426"/>
      <c r="AO228" s="426"/>
      <c r="AP228" s="426"/>
      <c r="AQ228" s="424"/>
      <c r="AR228" s="424"/>
      <c r="AS228" s="424"/>
      <c r="AT228" s="245"/>
    </row>
    <row r="229" spans="1:46" ht="13.5">
      <c r="A229" s="245"/>
      <c r="B229" s="245"/>
      <c r="C229" s="245"/>
      <c r="D229" s="245"/>
      <c r="E229" s="245"/>
      <c r="F229" s="245"/>
      <c r="G229" s="245"/>
      <c r="H229" s="245"/>
      <c r="I229" s="245"/>
      <c r="J229" s="245"/>
      <c r="K229" s="245"/>
      <c r="L229" s="245"/>
      <c r="AC229" s="213"/>
      <c r="AR229" s="423"/>
      <c r="AS229" s="423"/>
      <c r="AT229" s="245"/>
    </row>
    <row r="230" spans="1:46" ht="13.5">
      <c r="A230" s="245"/>
      <c r="B230" s="245"/>
      <c r="C230" s="245"/>
      <c r="D230" s="245"/>
      <c r="E230" s="245"/>
      <c r="F230" s="245"/>
      <c r="G230" s="245"/>
      <c r="H230" s="245"/>
      <c r="I230" s="245"/>
      <c r="J230" s="245"/>
      <c r="K230" s="245"/>
      <c r="L230" s="245"/>
      <c r="AC230" s="213"/>
      <c r="AR230" s="423"/>
      <c r="AS230" s="423"/>
      <c r="AT230" s="245"/>
    </row>
    <row r="231" spans="1:46" ht="13.5">
      <c r="A231" s="245"/>
      <c r="B231" s="245"/>
      <c r="C231" s="245"/>
      <c r="D231" s="245"/>
      <c r="E231" s="245"/>
      <c r="F231" s="245"/>
      <c r="G231" s="245"/>
      <c r="H231" s="245"/>
      <c r="I231" s="245"/>
      <c r="J231" s="245"/>
      <c r="K231" s="245"/>
      <c r="L231" s="245"/>
      <c r="AC231" s="213"/>
      <c r="AR231" s="423"/>
      <c r="AS231" s="423"/>
      <c r="AT231" s="245"/>
    </row>
    <row r="232" spans="1:46" ht="13.5">
      <c r="A232" s="245"/>
      <c r="B232" s="245"/>
      <c r="C232" s="245"/>
      <c r="D232" s="245"/>
      <c r="E232" s="245"/>
      <c r="F232" s="245"/>
      <c r="G232" s="245"/>
      <c r="H232" s="245"/>
      <c r="I232" s="245"/>
      <c r="J232" s="245"/>
      <c r="K232" s="245"/>
      <c r="L232" s="245"/>
      <c r="AC232" s="213"/>
      <c r="AR232" s="423"/>
      <c r="AS232" s="423"/>
      <c r="AT232" s="245"/>
    </row>
    <row r="233" spans="1:46" ht="13.5">
      <c r="A233" s="245"/>
      <c r="B233" s="245"/>
      <c r="C233" s="245"/>
      <c r="D233" s="245"/>
      <c r="E233" s="245"/>
      <c r="F233" s="245"/>
      <c r="G233" s="245"/>
      <c r="H233" s="245"/>
      <c r="I233" s="245"/>
      <c r="J233" s="245"/>
      <c r="K233" s="245"/>
      <c r="L233" s="245"/>
      <c r="AC233" s="213"/>
      <c r="AR233" s="423"/>
      <c r="AS233" s="423"/>
      <c r="AT233" s="245"/>
    </row>
    <row r="234" spans="1:46" ht="13.5">
      <c r="A234" s="245"/>
      <c r="B234" s="245"/>
      <c r="C234" s="245"/>
      <c r="D234" s="245"/>
      <c r="E234" s="245"/>
      <c r="F234" s="245"/>
      <c r="G234" s="245"/>
      <c r="H234" s="245"/>
      <c r="I234" s="245"/>
      <c r="J234" s="245"/>
      <c r="K234" s="245"/>
      <c r="L234" s="245"/>
      <c r="AC234" s="213"/>
      <c r="AR234" s="423"/>
      <c r="AS234" s="423"/>
      <c r="AT234" s="245"/>
    </row>
    <row r="235" spans="1:46" ht="13.5">
      <c r="A235" s="245"/>
      <c r="B235" s="245"/>
      <c r="C235" s="245"/>
      <c r="D235" s="245"/>
      <c r="E235" s="245"/>
      <c r="F235" s="245"/>
      <c r="G235" s="245"/>
      <c r="H235" s="245"/>
      <c r="I235" s="245"/>
      <c r="J235" s="245"/>
      <c r="K235" s="245"/>
      <c r="L235" s="245"/>
      <c r="AC235" s="213"/>
      <c r="AR235" s="423"/>
      <c r="AS235" s="423"/>
      <c r="AT235" s="245"/>
    </row>
    <row r="236" spans="1:46" ht="13.5">
      <c r="A236" s="245"/>
      <c r="B236" s="245"/>
      <c r="C236" s="245"/>
      <c r="D236" s="245"/>
      <c r="E236" s="245"/>
      <c r="F236" s="245"/>
      <c r="G236" s="245"/>
      <c r="H236" s="245"/>
      <c r="I236" s="245"/>
      <c r="J236" s="245"/>
      <c r="K236" s="245"/>
      <c r="L236" s="245"/>
      <c r="AC236" s="213"/>
      <c r="AR236" s="423"/>
      <c r="AS236" s="423"/>
      <c r="AT236" s="245"/>
    </row>
    <row r="237" spans="1:46" ht="13.5">
      <c r="A237" s="245"/>
      <c r="B237" s="245"/>
      <c r="C237" s="245"/>
      <c r="D237" s="245"/>
      <c r="E237" s="245"/>
      <c r="F237" s="245"/>
      <c r="G237" s="245"/>
      <c r="H237" s="245"/>
      <c r="I237" s="245"/>
      <c r="J237" s="245"/>
      <c r="K237" s="245"/>
      <c r="L237" s="245"/>
      <c r="AC237" s="213"/>
      <c r="AR237" s="423"/>
      <c r="AS237" s="423"/>
      <c r="AT237" s="245"/>
    </row>
    <row r="238" spans="1:46" ht="13.5">
      <c r="A238" s="245"/>
      <c r="B238" s="245"/>
      <c r="C238" s="245"/>
      <c r="D238" s="245"/>
      <c r="E238" s="245"/>
      <c r="F238" s="245"/>
      <c r="G238" s="245"/>
      <c r="H238" s="245"/>
      <c r="I238" s="245"/>
      <c r="J238" s="245"/>
      <c r="K238" s="245"/>
      <c r="L238" s="245"/>
      <c r="AR238" s="423"/>
      <c r="AS238" s="423"/>
      <c r="AT238" s="245"/>
    </row>
    <row r="239" spans="1:46" ht="13.5">
      <c r="A239" s="245"/>
      <c r="B239" s="245"/>
      <c r="C239" s="245"/>
      <c r="D239" s="245"/>
      <c r="E239" s="245"/>
      <c r="F239" s="245"/>
      <c r="G239" s="245"/>
      <c r="H239" s="245"/>
      <c r="I239" s="245"/>
      <c r="J239" s="245"/>
      <c r="K239" s="245"/>
      <c r="L239" s="245"/>
      <c r="AR239" s="423"/>
      <c r="AS239" s="423"/>
      <c r="AT239" s="245"/>
    </row>
    <row r="240" spans="1:46" ht="13.5">
      <c r="A240" s="245"/>
      <c r="B240" s="245"/>
      <c r="C240" s="245"/>
      <c r="D240" s="245"/>
      <c r="E240" s="245"/>
      <c r="F240" s="245"/>
      <c r="G240" s="245"/>
      <c r="H240" s="245"/>
      <c r="I240" s="245"/>
      <c r="J240" s="245"/>
      <c r="K240" s="245"/>
      <c r="L240" s="245"/>
      <c r="AR240" s="423"/>
      <c r="AS240" s="423"/>
      <c r="AT240" s="245"/>
    </row>
    <row r="241" spans="1:46" ht="13.5">
      <c r="A241" s="245"/>
      <c r="B241" s="245"/>
      <c r="C241" s="245"/>
      <c r="D241" s="245"/>
      <c r="E241" s="245"/>
      <c r="F241" s="245"/>
      <c r="G241" s="245"/>
      <c r="H241" s="245"/>
      <c r="I241" s="245"/>
      <c r="J241" s="245"/>
      <c r="K241" s="245"/>
      <c r="L241" s="245"/>
      <c r="AR241" s="423"/>
      <c r="AS241" s="423"/>
      <c r="AT241" s="245"/>
    </row>
    <row r="242" spans="1:46" ht="13.5">
      <c r="A242" s="245"/>
      <c r="B242" s="245"/>
      <c r="C242" s="245"/>
      <c r="D242" s="245"/>
      <c r="E242" s="245"/>
      <c r="F242" s="245"/>
      <c r="G242" s="245"/>
      <c r="H242" s="245"/>
      <c r="I242" s="245"/>
      <c r="J242" s="245"/>
      <c r="K242" s="245"/>
      <c r="L242" s="245"/>
      <c r="AR242" s="423"/>
      <c r="AS242" s="423"/>
      <c r="AT242" s="245"/>
    </row>
    <row r="243" spans="1:46" ht="13.5">
      <c r="A243" s="245"/>
      <c r="B243" s="245"/>
      <c r="C243" s="245"/>
      <c r="D243" s="245"/>
      <c r="E243" s="245"/>
      <c r="F243" s="245"/>
      <c r="G243" s="245"/>
      <c r="H243" s="245"/>
      <c r="I243" s="245"/>
      <c r="J243" s="245"/>
      <c r="K243" s="245"/>
      <c r="L243" s="245"/>
      <c r="AR243" s="423"/>
      <c r="AS243" s="423"/>
      <c r="AT243" s="245"/>
    </row>
    <row r="244" spans="1:46" ht="13.5">
      <c r="A244" s="245"/>
      <c r="B244" s="245"/>
      <c r="C244" s="245"/>
      <c r="D244" s="245"/>
      <c r="E244" s="245"/>
      <c r="F244" s="245"/>
      <c r="G244" s="245"/>
      <c r="H244" s="245"/>
      <c r="I244" s="245"/>
      <c r="J244" s="245"/>
      <c r="K244" s="245"/>
      <c r="L244" s="245"/>
      <c r="AR244" s="423"/>
      <c r="AS244" s="423"/>
      <c r="AT244" s="245"/>
    </row>
    <row r="245" spans="1:46" ht="13.5">
      <c r="A245" s="245"/>
      <c r="B245" s="245"/>
      <c r="C245" s="245"/>
      <c r="D245" s="245"/>
      <c r="E245" s="245"/>
      <c r="F245" s="245"/>
      <c r="G245" s="245"/>
      <c r="H245" s="245"/>
      <c r="I245" s="245"/>
      <c r="J245" s="245"/>
      <c r="K245" s="245"/>
      <c r="L245" s="245"/>
      <c r="AR245" s="423"/>
      <c r="AS245" s="423"/>
      <c r="AT245" s="245"/>
    </row>
    <row r="246" spans="1:46" ht="13.5">
      <c r="A246" s="245"/>
      <c r="B246" s="245"/>
      <c r="C246" s="245"/>
      <c r="D246" s="245"/>
      <c r="E246" s="245"/>
      <c r="F246" s="245"/>
      <c r="G246" s="245"/>
      <c r="H246" s="245"/>
      <c r="I246" s="245"/>
      <c r="J246" s="245"/>
      <c r="K246" s="245"/>
      <c r="L246" s="245"/>
      <c r="AR246" s="423"/>
      <c r="AS246" s="423"/>
      <c r="AT246" s="245"/>
    </row>
    <row r="247" spans="1:46" ht="13.5">
      <c r="A247" s="245"/>
      <c r="B247" s="245"/>
      <c r="C247" s="245"/>
      <c r="D247" s="245"/>
      <c r="E247" s="245"/>
      <c r="F247" s="245"/>
      <c r="G247" s="245"/>
      <c r="H247" s="245"/>
      <c r="I247" s="245"/>
      <c r="J247" s="245"/>
      <c r="K247" s="245"/>
      <c r="L247" s="245"/>
      <c r="AR247" s="423"/>
      <c r="AS247" s="423"/>
      <c r="AT247" s="245"/>
    </row>
    <row r="248" spans="1:46" ht="13.5">
      <c r="A248" s="245"/>
      <c r="B248" s="245"/>
      <c r="C248" s="245"/>
      <c r="D248" s="245"/>
      <c r="E248" s="245"/>
      <c r="F248" s="245"/>
      <c r="G248" s="245"/>
      <c r="H248" s="245"/>
      <c r="I248" s="245"/>
      <c r="J248" s="245"/>
      <c r="K248" s="245"/>
      <c r="L248" s="245"/>
      <c r="AR248" s="423"/>
      <c r="AS248" s="423"/>
      <c r="AT248" s="245"/>
    </row>
    <row r="249" spans="1:46" ht="13.5">
      <c r="A249" s="245"/>
      <c r="B249" s="245"/>
      <c r="C249" s="245"/>
      <c r="D249" s="245"/>
      <c r="E249" s="245"/>
      <c r="F249" s="245"/>
      <c r="G249" s="245"/>
      <c r="H249" s="245"/>
      <c r="I249" s="245"/>
      <c r="J249" s="245"/>
      <c r="K249" s="245"/>
      <c r="L249" s="245"/>
      <c r="AR249" s="423"/>
      <c r="AS249" s="423"/>
      <c r="AT249" s="245"/>
    </row>
    <row r="250" spans="1:46" ht="13.5">
      <c r="A250" s="245"/>
      <c r="B250" s="245"/>
      <c r="C250" s="245"/>
      <c r="D250" s="245"/>
      <c r="E250" s="245"/>
      <c r="F250" s="245"/>
      <c r="G250" s="245"/>
      <c r="H250" s="245"/>
      <c r="I250" s="245"/>
      <c r="J250" s="245"/>
      <c r="K250" s="245"/>
      <c r="L250" s="245"/>
      <c r="AR250" s="423"/>
      <c r="AS250" s="423"/>
      <c r="AT250" s="245"/>
    </row>
    <row r="251" spans="1:46" ht="13.5">
      <c r="A251" s="245"/>
      <c r="B251" s="245"/>
      <c r="C251" s="245"/>
      <c r="D251" s="245"/>
      <c r="E251" s="245"/>
      <c r="F251" s="245"/>
      <c r="G251" s="245"/>
      <c r="H251" s="245"/>
      <c r="I251" s="245"/>
      <c r="J251" s="245"/>
      <c r="K251" s="245"/>
      <c r="L251" s="245"/>
      <c r="AR251" s="423"/>
      <c r="AS251" s="423"/>
      <c r="AT251" s="245"/>
    </row>
    <row r="252" spans="1:46" ht="13.5">
      <c r="A252" s="245"/>
      <c r="B252" s="245"/>
      <c r="C252" s="245"/>
      <c r="D252" s="245"/>
      <c r="E252" s="245"/>
      <c r="F252" s="245"/>
      <c r="G252" s="245"/>
      <c r="H252" s="245"/>
      <c r="I252" s="245"/>
      <c r="J252" s="245"/>
      <c r="K252" s="245"/>
      <c r="L252" s="245"/>
      <c r="AR252" s="423"/>
      <c r="AS252" s="423"/>
      <c r="AT252" s="245"/>
    </row>
    <row r="253" spans="1:46" ht="13.5">
      <c r="A253" s="245"/>
      <c r="B253" s="245"/>
      <c r="C253" s="245"/>
      <c r="D253" s="245"/>
      <c r="E253" s="245"/>
      <c r="F253" s="245"/>
      <c r="G253" s="245"/>
      <c r="H253" s="245"/>
      <c r="I253" s="245"/>
      <c r="J253" s="245"/>
      <c r="K253" s="245"/>
      <c r="L253" s="245"/>
      <c r="AR253" s="423"/>
      <c r="AS253" s="423"/>
      <c r="AT253" s="245"/>
    </row>
    <row r="254" spans="1:46" ht="13.5">
      <c r="A254" s="245"/>
      <c r="B254" s="245"/>
      <c r="C254" s="245"/>
      <c r="D254" s="245"/>
      <c r="E254" s="245"/>
      <c r="F254" s="245"/>
      <c r="G254" s="245"/>
      <c r="H254" s="245"/>
      <c r="I254" s="245"/>
      <c r="J254" s="245"/>
      <c r="K254" s="245"/>
      <c r="L254" s="245"/>
      <c r="AR254" s="423"/>
      <c r="AS254" s="423"/>
      <c r="AT254" s="245"/>
    </row>
    <row r="255" spans="1:46" ht="13.5">
      <c r="A255" s="245"/>
      <c r="B255" s="245"/>
      <c r="C255" s="245"/>
      <c r="D255" s="245"/>
      <c r="E255" s="245"/>
      <c r="F255" s="245"/>
      <c r="G255" s="245"/>
      <c r="H255" s="245"/>
      <c r="I255" s="245"/>
      <c r="J255" s="245"/>
      <c r="K255" s="245"/>
      <c r="L255" s="245"/>
      <c r="AR255" s="423"/>
      <c r="AS255" s="423"/>
      <c r="AT255" s="245"/>
    </row>
    <row r="256" spans="1:46" ht="13.5">
      <c r="A256" s="245"/>
      <c r="B256" s="245"/>
      <c r="C256" s="245"/>
      <c r="D256" s="245"/>
      <c r="E256" s="245"/>
      <c r="F256" s="245"/>
      <c r="G256" s="245"/>
      <c r="H256" s="245"/>
      <c r="I256" s="245"/>
      <c r="J256" s="245"/>
      <c r="K256" s="245"/>
      <c r="L256" s="245"/>
      <c r="AR256" s="423"/>
      <c r="AS256" s="423"/>
      <c r="AT256" s="245"/>
    </row>
    <row r="257" spans="1:46" ht="13.5">
      <c r="A257" s="245"/>
      <c r="B257" s="245"/>
      <c r="C257" s="245"/>
      <c r="D257" s="245"/>
      <c r="E257" s="245"/>
      <c r="F257" s="245"/>
      <c r="G257" s="245"/>
      <c r="H257" s="245"/>
      <c r="I257" s="245"/>
      <c r="J257" s="245"/>
      <c r="K257" s="245"/>
      <c r="L257" s="245"/>
      <c r="AR257" s="423"/>
      <c r="AS257" s="423"/>
      <c r="AT257" s="245"/>
    </row>
    <row r="258" spans="1:46" ht="13.5">
      <c r="A258" s="245"/>
      <c r="B258" s="245"/>
      <c r="C258" s="245"/>
      <c r="D258" s="245"/>
      <c r="E258" s="245"/>
      <c r="F258" s="245"/>
      <c r="G258" s="245"/>
      <c r="H258" s="245"/>
      <c r="I258" s="245"/>
      <c r="J258" s="245"/>
      <c r="K258" s="245"/>
      <c r="L258" s="245"/>
      <c r="AR258" s="423"/>
      <c r="AS258" s="423"/>
      <c r="AT258" s="245"/>
    </row>
    <row r="259" spans="1:46" ht="13.5">
      <c r="A259" s="245"/>
      <c r="B259" s="245"/>
      <c r="C259" s="245"/>
      <c r="D259" s="245"/>
      <c r="E259" s="245"/>
      <c r="F259" s="245"/>
      <c r="G259" s="245"/>
      <c r="H259" s="245"/>
      <c r="I259" s="245"/>
      <c r="J259" s="245"/>
      <c r="K259" s="245"/>
      <c r="L259" s="245"/>
      <c r="AR259" s="423"/>
      <c r="AS259" s="423"/>
      <c r="AT259" s="245"/>
    </row>
    <row r="260" spans="1:46" ht="13.5">
      <c r="A260" s="245"/>
      <c r="B260" s="245"/>
      <c r="C260" s="245"/>
      <c r="D260" s="245"/>
      <c r="E260" s="245"/>
      <c r="F260" s="245"/>
      <c r="G260" s="245"/>
      <c r="H260" s="245"/>
      <c r="I260" s="245"/>
      <c r="J260" s="245"/>
      <c r="K260" s="245"/>
      <c r="L260" s="245"/>
      <c r="AR260" s="423"/>
      <c r="AS260" s="423"/>
      <c r="AT260" s="245"/>
    </row>
    <row r="261" spans="1:46" ht="13.5">
      <c r="A261" s="245"/>
      <c r="B261" s="245"/>
      <c r="C261" s="245"/>
      <c r="D261" s="245"/>
      <c r="E261" s="245"/>
      <c r="F261" s="245"/>
      <c r="G261" s="245"/>
      <c r="H261" s="245"/>
      <c r="I261" s="245"/>
      <c r="J261" s="245"/>
      <c r="K261" s="245"/>
      <c r="L261" s="245"/>
      <c r="AR261" s="423"/>
      <c r="AS261" s="423"/>
      <c r="AT261" s="245"/>
    </row>
    <row r="262" spans="1:46" ht="13.5">
      <c r="A262" s="245"/>
      <c r="B262" s="245"/>
      <c r="C262" s="245"/>
      <c r="D262" s="245"/>
      <c r="E262" s="245"/>
      <c r="F262" s="245"/>
      <c r="G262" s="245"/>
      <c r="H262" s="245"/>
      <c r="I262" s="245"/>
      <c r="J262" s="245"/>
      <c r="K262" s="245"/>
      <c r="L262" s="245"/>
      <c r="AR262" s="423"/>
      <c r="AS262" s="423"/>
      <c r="AT262" s="245"/>
    </row>
    <row r="263" spans="1:46" ht="13.5">
      <c r="A263" s="245"/>
      <c r="B263" s="245"/>
      <c r="C263" s="245"/>
      <c r="D263" s="245"/>
      <c r="E263" s="245"/>
      <c r="F263" s="245"/>
      <c r="G263" s="245"/>
      <c r="H263" s="245"/>
      <c r="I263" s="245"/>
      <c r="J263" s="245"/>
      <c r="K263" s="245"/>
      <c r="L263" s="245"/>
      <c r="AR263" s="423"/>
      <c r="AS263" s="423"/>
      <c r="AT263" s="245"/>
    </row>
    <row r="264" spans="1:46" ht="13.5">
      <c r="A264" s="245"/>
      <c r="B264" s="245"/>
      <c r="C264" s="245"/>
      <c r="D264" s="245"/>
      <c r="E264" s="245"/>
      <c r="F264" s="245"/>
      <c r="G264" s="245"/>
      <c r="H264" s="245"/>
      <c r="I264" s="245"/>
      <c r="J264" s="245"/>
      <c r="K264" s="245"/>
      <c r="L264" s="245"/>
      <c r="AR264" s="423"/>
      <c r="AS264" s="423"/>
      <c r="AT264" s="245"/>
    </row>
    <row r="265" spans="1:46" ht="13.5">
      <c r="A265" s="245"/>
      <c r="B265" s="245"/>
      <c r="C265" s="245"/>
      <c r="D265" s="245"/>
      <c r="E265" s="245"/>
      <c r="F265" s="245"/>
      <c r="G265" s="245"/>
      <c r="H265" s="245"/>
      <c r="I265" s="245"/>
      <c r="J265" s="245"/>
      <c r="K265" s="245"/>
      <c r="L265" s="245"/>
      <c r="AR265" s="423"/>
      <c r="AS265" s="423"/>
      <c r="AT265" s="245"/>
    </row>
    <row r="266" spans="1:46" ht="13.5">
      <c r="A266" s="245"/>
      <c r="B266" s="245"/>
      <c r="C266" s="245"/>
      <c r="D266" s="245"/>
      <c r="E266" s="245"/>
      <c r="F266" s="245"/>
      <c r="G266" s="245"/>
      <c r="H266" s="245"/>
      <c r="I266" s="245"/>
      <c r="J266" s="245"/>
      <c r="K266" s="245"/>
      <c r="L266" s="245"/>
      <c r="AR266" s="423"/>
      <c r="AS266" s="423"/>
      <c r="AT266" s="245"/>
    </row>
    <row r="267" spans="1:46" ht="13.5">
      <c r="A267" s="245"/>
      <c r="B267" s="245"/>
      <c r="C267" s="245"/>
      <c r="D267" s="245"/>
      <c r="E267" s="245"/>
      <c r="F267" s="245"/>
      <c r="G267" s="245"/>
      <c r="H267" s="245"/>
      <c r="I267" s="245"/>
      <c r="J267" s="245"/>
      <c r="K267" s="245"/>
      <c r="L267" s="245"/>
      <c r="AR267" s="423"/>
      <c r="AS267" s="423"/>
      <c r="AT267" s="245"/>
    </row>
    <row r="268" spans="1:46" ht="13.5">
      <c r="A268" s="245"/>
      <c r="B268" s="245"/>
      <c r="C268" s="245"/>
      <c r="D268" s="245"/>
      <c r="E268" s="245"/>
      <c r="F268" s="245"/>
      <c r="G268" s="245"/>
      <c r="H268" s="245"/>
      <c r="I268" s="245"/>
      <c r="J268" s="245"/>
      <c r="K268" s="245"/>
      <c r="L268" s="245"/>
      <c r="AR268" s="423"/>
      <c r="AS268" s="423"/>
      <c r="AT268" s="245"/>
    </row>
    <row r="269" spans="1:46" ht="13.5">
      <c r="A269" s="245"/>
      <c r="B269" s="245"/>
      <c r="C269" s="245"/>
      <c r="D269" s="245"/>
      <c r="E269" s="245"/>
      <c r="F269" s="245"/>
      <c r="G269" s="245"/>
      <c r="H269" s="245"/>
      <c r="I269" s="245"/>
      <c r="J269" s="245"/>
      <c r="K269" s="245"/>
      <c r="L269" s="245"/>
      <c r="AR269" s="423"/>
      <c r="AS269" s="423"/>
      <c r="AT269" s="245"/>
    </row>
    <row r="270" spans="1:46" ht="13.5">
      <c r="A270" s="245"/>
      <c r="B270" s="245"/>
      <c r="C270" s="245"/>
      <c r="D270" s="245"/>
      <c r="E270" s="245"/>
      <c r="F270" s="245"/>
      <c r="G270" s="245"/>
      <c r="H270" s="245"/>
      <c r="I270" s="245"/>
      <c r="J270" s="245"/>
      <c r="K270" s="245"/>
      <c r="L270" s="245"/>
      <c r="AR270" s="423"/>
      <c r="AS270" s="423"/>
      <c r="AT270" s="245"/>
    </row>
    <row r="271" spans="1:46" ht="13.5">
      <c r="A271" s="245"/>
      <c r="B271" s="245"/>
      <c r="C271" s="245"/>
      <c r="D271" s="245"/>
      <c r="E271" s="245"/>
      <c r="F271" s="245"/>
      <c r="G271" s="245"/>
      <c r="H271" s="245"/>
      <c r="I271" s="245"/>
      <c r="J271" s="245"/>
      <c r="K271" s="245"/>
      <c r="L271" s="245"/>
      <c r="AR271" s="423"/>
      <c r="AS271" s="423"/>
      <c r="AT271" s="245"/>
    </row>
    <row r="272" spans="1:46" ht="13.5">
      <c r="A272" s="245"/>
      <c r="B272" s="245"/>
      <c r="C272" s="245"/>
      <c r="D272" s="245"/>
      <c r="E272" s="245"/>
      <c r="F272" s="245"/>
      <c r="G272" s="245"/>
      <c r="H272" s="245"/>
      <c r="I272" s="245"/>
      <c r="J272" s="245"/>
      <c r="K272" s="245"/>
      <c r="L272" s="245"/>
      <c r="AR272" s="423"/>
      <c r="AS272" s="423"/>
      <c r="AT272" s="245"/>
    </row>
    <row r="273" spans="1:46" ht="13.5">
      <c r="A273" s="245"/>
      <c r="B273" s="245"/>
      <c r="C273" s="245"/>
      <c r="D273" s="245"/>
      <c r="E273" s="245"/>
      <c r="F273" s="245"/>
      <c r="G273" s="245"/>
      <c r="H273" s="245"/>
      <c r="I273" s="245"/>
      <c r="J273" s="245"/>
      <c r="K273" s="245"/>
      <c r="L273" s="245"/>
      <c r="AR273" s="423"/>
      <c r="AS273" s="423"/>
      <c r="AT273" s="245"/>
    </row>
    <row r="274" spans="1:46" ht="13.5">
      <c r="A274" s="245"/>
      <c r="B274" s="245"/>
      <c r="C274" s="245"/>
      <c r="D274" s="245"/>
      <c r="E274" s="245"/>
      <c r="F274" s="245"/>
      <c r="G274" s="245"/>
      <c r="H274" s="245"/>
      <c r="I274" s="245"/>
      <c r="J274" s="245"/>
      <c r="K274" s="245"/>
      <c r="L274" s="245"/>
      <c r="AR274" s="423"/>
      <c r="AS274" s="423"/>
      <c r="AT274" s="245"/>
    </row>
    <row r="275" spans="1:46" ht="13.5">
      <c r="A275" s="245"/>
      <c r="B275" s="245"/>
      <c r="C275" s="245"/>
      <c r="D275" s="245"/>
      <c r="E275" s="245"/>
      <c r="F275" s="245"/>
      <c r="G275" s="245"/>
      <c r="H275" s="245"/>
      <c r="I275" s="245"/>
      <c r="J275" s="245"/>
      <c r="K275" s="245"/>
      <c r="L275" s="245"/>
      <c r="AR275" s="423"/>
      <c r="AS275" s="423"/>
      <c r="AT275" s="245"/>
    </row>
    <row r="276" spans="1:46" ht="13.5">
      <c r="A276" s="245"/>
      <c r="B276" s="245"/>
      <c r="C276" s="245"/>
      <c r="D276" s="245"/>
      <c r="E276" s="245"/>
      <c r="F276" s="245"/>
      <c r="G276" s="245"/>
      <c r="H276" s="245"/>
      <c r="I276" s="245"/>
      <c r="J276" s="245"/>
      <c r="K276" s="245"/>
      <c r="L276" s="245"/>
      <c r="AR276" s="423"/>
      <c r="AS276" s="423"/>
      <c r="AT276" s="245"/>
    </row>
    <row r="277" spans="1:46" ht="13.5">
      <c r="A277" s="245"/>
      <c r="B277" s="245"/>
      <c r="C277" s="245"/>
      <c r="D277" s="245"/>
      <c r="E277" s="245"/>
      <c r="F277" s="245"/>
      <c r="G277" s="245"/>
      <c r="H277" s="245"/>
      <c r="I277" s="245"/>
      <c r="J277" s="245"/>
      <c r="K277" s="245"/>
      <c r="L277" s="245"/>
      <c r="AR277" s="423"/>
      <c r="AS277" s="423"/>
      <c r="AT277" s="245"/>
    </row>
    <row r="278" spans="1:46" ht="13.5">
      <c r="A278" s="245"/>
      <c r="B278" s="245"/>
      <c r="C278" s="245"/>
      <c r="D278" s="245"/>
      <c r="E278" s="245"/>
      <c r="F278" s="245"/>
      <c r="G278" s="245"/>
      <c r="H278" s="245"/>
      <c r="I278" s="245"/>
      <c r="J278" s="245"/>
      <c r="K278" s="245"/>
      <c r="L278" s="245"/>
      <c r="AR278" s="423"/>
      <c r="AS278" s="423"/>
      <c r="AT278" s="245"/>
    </row>
    <row r="279" spans="1:46" ht="13.5">
      <c r="A279" s="245"/>
      <c r="B279" s="245"/>
      <c r="C279" s="245"/>
      <c r="D279" s="245"/>
      <c r="E279" s="245"/>
      <c r="F279" s="245"/>
      <c r="G279" s="245"/>
      <c r="H279" s="245"/>
      <c r="I279" s="245"/>
      <c r="J279" s="245"/>
      <c r="K279" s="245"/>
      <c r="L279" s="245"/>
      <c r="AR279" s="423"/>
      <c r="AS279" s="423"/>
      <c r="AT279" s="245"/>
    </row>
    <row r="280" spans="1:46" ht="13.5">
      <c r="A280" s="245"/>
      <c r="B280" s="245"/>
      <c r="C280" s="245"/>
      <c r="D280" s="245"/>
      <c r="E280" s="245"/>
      <c r="F280" s="245"/>
      <c r="G280" s="245"/>
      <c r="H280" s="245"/>
      <c r="I280" s="245"/>
      <c r="J280" s="245"/>
      <c r="K280" s="245"/>
      <c r="L280" s="245"/>
      <c r="AR280" s="423"/>
      <c r="AS280" s="423"/>
      <c r="AT280" s="245"/>
    </row>
    <row r="281" spans="1:46" ht="13.5">
      <c r="A281" s="245"/>
      <c r="B281" s="245"/>
      <c r="C281" s="245"/>
      <c r="D281" s="245"/>
      <c r="E281" s="245"/>
      <c r="F281" s="245"/>
      <c r="G281" s="245"/>
      <c r="H281" s="245"/>
      <c r="I281" s="245"/>
      <c r="J281" s="245"/>
      <c r="K281" s="245"/>
      <c r="L281" s="245"/>
      <c r="AR281" s="423"/>
      <c r="AS281" s="423"/>
      <c r="AT281" s="245"/>
    </row>
    <row r="282" spans="1:46" ht="13.5">
      <c r="A282" s="245"/>
      <c r="B282" s="245"/>
      <c r="C282" s="245"/>
      <c r="D282" s="245"/>
      <c r="E282" s="245"/>
      <c r="F282" s="245"/>
      <c r="G282" s="245"/>
      <c r="H282" s="245"/>
      <c r="I282" s="245"/>
      <c r="J282" s="245"/>
      <c r="K282" s="245"/>
      <c r="L282" s="245"/>
      <c r="AR282" s="423"/>
      <c r="AS282" s="423"/>
      <c r="AT282" s="245"/>
    </row>
    <row r="283" spans="1:46" ht="13.5">
      <c r="A283" s="245"/>
      <c r="B283" s="245"/>
      <c r="C283" s="245"/>
      <c r="D283" s="245"/>
      <c r="E283" s="245"/>
      <c r="F283" s="245"/>
      <c r="G283" s="245"/>
      <c r="H283" s="245"/>
      <c r="I283" s="245"/>
      <c r="J283" s="245"/>
      <c r="K283" s="245"/>
      <c r="L283" s="245"/>
      <c r="AR283" s="423"/>
      <c r="AS283" s="423"/>
      <c r="AT283" s="245"/>
    </row>
    <row r="284" spans="1:46" ht="13.5">
      <c r="A284" s="245"/>
      <c r="B284" s="245"/>
      <c r="C284" s="245"/>
      <c r="D284" s="245"/>
      <c r="E284" s="245"/>
      <c r="F284" s="245"/>
      <c r="G284" s="245"/>
      <c r="H284" s="245"/>
      <c r="I284" s="245"/>
      <c r="J284" s="245"/>
      <c r="K284" s="245"/>
      <c r="L284" s="245"/>
      <c r="AR284" s="423"/>
      <c r="AS284" s="423"/>
      <c r="AT284" s="245"/>
    </row>
    <row r="285" spans="1:46" ht="13.5">
      <c r="A285" s="245"/>
      <c r="B285" s="245"/>
      <c r="C285" s="245"/>
      <c r="D285" s="245"/>
      <c r="E285" s="245"/>
      <c r="F285" s="245"/>
      <c r="G285" s="245"/>
      <c r="H285" s="245"/>
      <c r="I285" s="245"/>
      <c r="J285" s="245"/>
      <c r="K285" s="245"/>
      <c r="L285" s="245"/>
      <c r="AR285" s="423"/>
      <c r="AS285" s="423"/>
      <c r="AT285" s="245"/>
    </row>
    <row r="286" spans="1:46" ht="13.5">
      <c r="A286" s="245"/>
      <c r="B286" s="245"/>
      <c r="C286" s="245"/>
      <c r="D286" s="245"/>
      <c r="E286" s="245"/>
      <c r="F286" s="245"/>
      <c r="G286" s="245"/>
      <c r="H286" s="245"/>
      <c r="I286" s="245"/>
      <c r="J286" s="245"/>
      <c r="K286" s="245"/>
      <c r="L286" s="245"/>
      <c r="AR286" s="423"/>
      <c r="AS286" s="423"/>
      <c r="AT286" s="245"/>
    </row>
    <row r="287" spans="1:46" ht="13.5">
      <c r="A287" s="245"/>
      <c r="B287" s="245"/>
      <c r="C287" s="245"/>
      <c r="D287" s="245"/>
      <c r="E287" s="245"/>
      <c r="F287" s="245"/>
      <c r="G287" s="245"/>
      <c r="H287" s="245"/>
      <c r="I287" s="245"/>
      <c r="J287" s="245"/>
      <c r="K287" s="245"/>
      <c r="L287" s="245"/>
      <c r="AR287" s="423"/>
      <c r="AS287" s="423"/>
      <c r="AT287" s="245"/>
    </row>
    <row r="288" spans="1:46" ht="13.5">
      <c r="A288" s="245"/>
      <c r="B288" s="245"/>
      <c r="C288" s="245"/>
      <c r="D288" s="245"/>
      <c r="E288" s="245"/>
      <c r="F288" s="245"/>
      <c r="G288" s="245"/>
      <c r="H288" s="245"/>
      <c r="I288" s="245"/>
      <c r="J288" s="245"/>
      <c r="K288" s="245"/>
      <c r="L288" s="245"/>
      <c r="AR288" s="423"/>
      <c r="AS288" s="423"/>
      <c r="AT288" s="245"/>
    </row>
    <row r="289" spans="1:46" ht="13.5">
      <c r="A289" s="245"/>
      <c r="B289" s="245"/>
      <c r="C289" s="245"/>
      <c r="D289" s="245"/>
      <c r="E289" s="245"/>
      <c r="F289" s="245"/>
      <c r="G289" s="245"/>
      <c r="H289" s="245"/>
      <c r="I289" s="245"/>
      <c r="J289" s="245"/>
      <c r="K289" s="245"/>
      <c r="L289" s="245"/>
      <c r="AR289" s="423"/>
      <c r="AS289" s="423"/>
      <c r="AT289" s="245"/>
    </row>
    <row r="290" spans="1:46" ht="13.5">
      <c r="A290" s="245"/>
      <c r="B290" s="245"/>
      <c r="C290" s="245"/>
      <c r="D290" s="245"/>
      <c r="E290" s="245"/>
      <c r="F290" s="245"/>
      <c r="G290" s="245"/>
      <c r="H290" s="245"/>
      <c r="I290" s="245"/>
      <c r="J290" s="245"/>
      <c r="K290" s="245"/>
      <c r="L290" s="245"/>
      <c r="AR290" s="423"/>
      <c r="AS290" s="423"/>
      <c r="AT290" s="245"/>
    </row>
    <row r="291" spans="1:46" ht="13.5">
      <c r="A291" s="245"/>
      <c r="B291" s="245"/>
      <c r="C291" s="245"/>
      <c r="D291" s="245"/>
      <c r="E291" s="245"/>
      <c r="F291" s="245"/>
      <c r="G291" s="245"/>
      <c r="H291" s="245"/>
      <c r="I291" s="245"/>
      <c r="J291" s="245"/>
      <c r="K291" s="245"/>
      <c r="L291" s="245"/>
      <c r="AR291" s="423"/>
      <c r="AS291" s="423"/>
      <c r="AT291" s="245"/>
    </row>
    <row r="292" spans="1:46" ht="13.5">
      <c r="A292" s="245"/>
      <c r="B292" s="245"/>
      <c r="C292" s="245"/>
      <c r="D292" s="245"/>
      <c r="E292" s="245"/>
      <c r="F292" s="245"/>
      <c r="G292" s="245"/>
      <c r="H292" s="245"/>
      <c r="I292" s="245"/>
      <c r="J292" s="245"/>
      <c r="K292" s="245"/>
      <c r="L292" s="245"/>
      <c r="AR292" s="423"/>
      <c r="AS292" s="423"/>
      <c r="AT292" s="245"/>
    </row>
    <row r="293" spans="1:46" ht="13.5">
      <c r="A293" s="245"/>
      <c r="B293" s="245"/>
      <c r="C293" s="245"/>
      <c r="D293" s="245"/>
      <c r="E293" s="245"/>
      <c r="F293" s="245"/>
      <c r="G293" s="245"/>
      <c r="H293" s="245"/>
      <c r="I293" s="245"/>
      <c r="J293" s="245"/>
      <c r="K293" s="245"/>
      <c r="L293" s="245"/>
      <c r="AR293" s="423"/>
      <c r="AS293" s="423"/>
      <c r="AT293" s="245"/>
    </row>
    <row r="294" spans="1:46" ht="13.5">
      <c r="A294" s="245"/>
      <c r="B294" s="245"/>
      <c r="C294" s="245"/>
      <c r="D294" s="245"/>
      <c r="E294" s="245"/>
      <c r="F294" s="245"/>
      <c r="G294" s="245"/>
      <c r="H294" s="245"/>
      <c r="I294" s="245"/>
      <c r="J294" s="245"/>
      <c r="K294" s="245"/>
      <c r="L294" s="245"/>
      <c r="AR294" s="423"/>
      <c r="AS294" s="423"/>
      <c r="AT294" s="245"/>
    </row>
    <row r="295" spans="1:46" ht="13.5">
      <c r="A295" s="245"/>
      <c r="B295" s="245"/>
      <c r="C295" s="245"/>
      <c r="D295" s="245"/>
      <c r="E295" s="245"/>
      <c r="F295" s="245"/>
      <c r="G295" s="245"/>
      <c r="H295" s="245"/>
      <c r="I295" s="245"/>
      <c r="J295" s="245"/>
      <c r="K295" s="245"/>
      <c r="L295" s="245"/>
      <c r="AR295" s="423"/>
      <c r="AS295" s="423"/>
      <c r="AT295" s="245"/>
    </row>
    <row r="296" spans="1:46" ht="13.5">
      <c r="A296" s="245"/>
      <c r="B296" s="245"/>
      <c r="C296" s="245"/>
      <c r="D296" s="245"/>
      <c r="E296" s="245"/>
      <c r="F296" s="245"/>
      <c r="G296" s="245"/>
      <c r="H296" s="245"/>
      <c r="I296" s="245"/>
      <c r="J296" s="245"/>
      <c r="K296" s="245"/>
      <c r="L296" s="245"/>
      <c r="AR296" s="423"/>
      <c r="AS296" s="423"/>
      <c r="AT296" s="245"/>
    </row>
    <row r="297" spans="1:46" ht="13.5">
      <c r="A297" s="245"/>
      <c r="B297" s="245"/>
      <c r="C297" s="245"/>
      <c r="D297" s="245"/>
      <c r="E297" s="245"/>
      <c r="F297" s="245"/>
      <c r="G297" s="245"/>
      <c r="H297" s="245"/>
      <c r="I297" s="245"/>
      <c r="J297" s="245"/>
      <c r="K297" s="245"/>
      <c r="L297" s="245"/>
      <c r="AR297" s="423"/>
      <c r="AS297" s="423"/>
      <c r="AT297" s="245"/>
    </row>
    <row r="298" spans="1:46" ht="13.5">
      <c r="A298" s="245"/>
      <c r="B298" s="245"/>
      <c r="C298" s="245"/>
      <c r="D298" s="245"/>
      <c r="E298" s="245"/>
      <c r="F298" s="245"/>
      <c r="G298" s="245"/>
      <c r="H298" s="245"/>
      <c r="I298" s="245"/>
      <c r="J298" s="245"/>
      <c r="K298" s="245"/>
      <c r="L298" s="245"/>
      <c r="AR298" s="423"/>
      <c r="AS298" s="423"/>
      <c r="AT298" s="245"/>
    </row>
    <row r="299" spans="1:46" ht="13.5">
      <c r="A299" s="245"/>
      <c r="B299" s="245"/>
      <c r="C299" s="245"/>
      <c r="D299" s="245"/>
      <c r="E299" s="245"/>
      <c r="F299" s="245"/>
      <c r="G299" s="245"/>
      <c r="H299" s="245"/>
      <c r="I299" s="245"/>
      <c r="J299" s="245"/>
      <c r="K299" s="245"/>
      <c r="L299" s="245"/>
      <c r="AR299" s="423"/>
      <c r="AS299" s="423"/>
      <c r="AT299" s="245"/>
    </row>
    <row r="300" spans="1:46" ht="13.5">
      <c r="A300" s="245"/>
      <c r="B300" s="245"/>
      <c r="C300" s="245"/>
      <c r="D300" s="245"/>
      <c r="E300" s="245"/>
      <c r="F300" s="245"/>
      <c r="G300" s="245"/>
      <c r="H300" s="245"/>
      <c r="I300" s="245"/>
      <c r="J300" s="245"/>
      <c r="K300" s="245"/>
      <c r="L300" s="245"/>
      <c r="AR300" s="423"/>
      <c r="AS300" s="423"/>
      <c r="AT300" s="245"/>
    </row>
    <row r="301" spans="1:46" ht="13.5">
      <c r="A301" s="245"/>
      <c r="B301" s="245"/>
      <c r="C301" s="245"/>
      <c r="D301" s="245"/>
      <c r="E301" s="245"/>
      <c r="F301" s="245"/>
      <c r="G301" s="245"/>
      <c r="H301" s="245"/>
      <c r="I301" s="245"/>
      <c r="J301" s="245"/>
      <c r="K301" s="245"/>
      <c r="L301" s="245"/>
      <c r="AR301" s="423"/>
      <c r="AS301" s="423"/>
      <c r="AT301" s="245"/>
    </row>
    <row r="302" spans="1:46" ht="13.5">
      <c r="A302" s="245"/>
      <c r="B302" s="245"/>
      <c r="C302" s="245"/>
      <c r="D302" s="245"/>
      <c r="E302" s="245"/>
      <c r="F302" s="245"/>
      <c r="G302" s="245"/>
      <c r="H302" s="245"/>
      <c r="I302" s="245"/>
      <c r="J302" s="245"/>
      <c r="K302" s="245"/>
      <c r="L302" s="245"/>
      <c r="AR302" s="423"/>
      <c r="AS302" s="423"/>
      <c r="AT302" s="245"/>
    </row>
    <row r="303" spans="1:46" ht="13.5">
      <c r="A303" s="245"/>
      <c r="B303" s="245"/>
      <c r="C303" s="245"/>
      <c r="D303" s="245"/>
      <c r="E303" s="245"/>
      <c r="F303" s="245"/>
      <c r="G303" s="245"/>
      <c r="H303" s="245"/>
      <c r="I303" s="245"/>
      <c r="J303" s="245"/>
      <c r="K303" s="245"/>
      <c r="L303" s="245"/>
      <c r="AR303" s="423"/>
      <c r="AS303" s="423"/>
      <c r="AT303" s="245"/>
    </row>
    <row r="304" spans="1:46" ht="13.5">
      <c r="A304" s="245"/>
      <c r="B304" s="245"/>
      <c r="C304" s="245"/>
      <c r="D304" s="245"/>
      <c r="E304" s="245"/>
      <c r="F304" s="245"/>
      <c r="G304" s="245"/>
      <c r="H304" s="245"/>
      <c r="I304" s="245"/>
      <c r="J304" s="245"/>
      <c r="K304" s="245"/>
      <c r="L304" s="245"/>
      <c r="AR304" s="423"/>
      <c r="AS304" s="423"/>
      <c r="AT304" s="245"/>
    </row>
    <row r="305" spans="1:46" ht="13.5">
      <c r="A305" s="245"/>
      <c r="B305" s="245"/>
      <c r="C305" s="245"/>
      <c r="D305" s="245"/>
      <c r="E305" s="245"/>
      <c r="F305" s="245"/>
      <c r="G305" s="245"/>
      <c r="H305" s="245"/>
      <c r="I305" s="245"/>
      <c r="J305" s="245"/>
      <c r="K305" s="245"/>
      <c r="L305" s="245"/>
      <c r="AR305" s="423"/>
      <c r="AS305" s="423"/>
      <c r="AT305" s="245"/>
    </row>
    <row r="306" spans="1:46" ht="13.5">
      <c r="A306" s="245"/>
      <c r="B306" s="245"/>
      <c r="C306" s="245"/>
      <c r="D306" s="245"/>
      <c r="E306" s="245"/>
      <c r="F306" s="245"/>
      <c r="G306" s="245"/>
      <c r="H306" s="245"/>
      <c r="I306" s="245"/>
      <c r="J306" s="245"/>
      <c r="K306" s="245"/>
      <c r="L306" s="245"/>
      <c r="AR306" s="423"/>
      <c r="AS306" s="423"/>
      <c r="AT306" s="245"/>
    </row>
    <row r="307" spans="1:46" ht="13.5">
      <c r="A307" s="245"/>
      <c r="B307" s="245"/>
      <c r="C307" s="245"/>
      <c r="D307" s="245"/>
      <c r="E307" s="245"/>
      <c r="F307" s="245"/>
      <c r="G307" s="245"/>
      <c r="H307" s="245"/>
      <c r="I307" s="245"/>
      <c r="J307" s="245"/>
      <c r="K307" s="245"/>
      <c r="L307" s="245"/>
      <c r="AR307" s="423"/>
      <c r="AS307" s="423"/>
      <c r="AT307" s="245"/>
    </row>
    <row r="308" spans="1:46" ht="13.5">
      <c r="A308" s="245"/>
      <c r="B308" s="245"/>
      <c r="C308" s="245"/>
      <c r="D308" s="245"/>
      <c r="E308" s="245"/>
      <c r="F308" s="245"/>
      <c r="G308" s="245"/>
      <c r="H308" s="245"/>
      <c r="I308" s="245"/>
      <c r="J308" s="245"/>
      <c r="K308" s="245"/>
      <c r="L308" s="245"/>
      <c r="AR308" s="423"/>
      <c r="AS308" s="423"/>
      <c r="AT308" s="245"/>
    </row>
    <row r="309" spans="1:46" ht="13.5">
      <c r="A309" s="245"/>
      <c r="B309" s="245"/>
      <c r="C309" s="245"/>
      <c r="D309" s="245"/>
      <c r="E309" s="245"/>
      <c r="F309" s="245"/>
      <c r="G309" s="245"/>
      <c r="H309" s="245"/>
      <c r="I309" s="245"/>
      <c r="J309" s="245"/>
      <c r="K309" s="245"/>
      <c r="L309" s="245"/>
      <c r="AR309" s="423"/>
      <c r="AS309" s="423"/>
      <c r="AT309" s="245"/>
    </row>
    <row r="310" spans="1:46" ht="13.5">
      <c r="A310" s="245"/>
      <c r="B310" s="245"/>
      <c r="C310" s="245"/>
      <c r="D310" s="245"/>
      <c r="E310" s="245"/>
      <c r="F310" s="245"/>
      <c r="G310" s="245"/>
      <c r="H310" s="245"/>
      <c r="I310" s="245"/>
      <c r="J310" s="245"/>
      <c r="K310" s="245"/>
      <c r="L310" s="245"/>
      <c r="AR310" s="423"/>
      <c r="AS310" s="423"/>
      <c r="AT310" s="245"/>
    </row>
    <row r="311" spans="1:46" ht="13.5">
      <c r="A311" s="245"/>
      <c r="B311" s="245"/>
      <c r="C311" s="245"/>
      <c r="D311" s="245"/>
      <c r="E311" s="245"/>
      <c r="F311" s="245"/>
      <c r="G311" s="245"/>
      <c r="H311" s="245"/>
      <c r="I311" s="245"/>
      <c r="J311" s="245"/>
      <c r="K311" s="245"/>
      <c r="L311" s="245"/>
      <c r="AR311" s="423"/>
      <c r="AS311" s="423"/>
      <c r="AT311" s="245"/>
    </row>
    <row r="312" spans="1:46" ht="13.5">
      <c r="A312" s="245"/>
      <c r="B312" s="245"/>
      <c r="C312" s="245"/>
      <c r="D312" s="245"/>
      <c r="E312" s="245"/>
      <c r="F312" s="245"/>
      <c r="G312" s="245"/>
      <c r="H312" s="245"/>
      <c r="I312" s="245"/>
      <c r="J312" s="245"/>
      <c r="K312" s="245"/>
      <c r="L312" s="245"/>
      <c r="AR312" s="423"/>
      <c r="AS312" s="423"/>
      <c r="AT312" s="245"/>
    </row>
    <row r="313" spans="1:46" ht="13.5">
      <c r="A313" s="245"/>
      <c r="B313" s="245"/>
      <c r="C313" s="245"/>
      <c r="D313" s="245"/>
      <c r="E313" s="245"/>
      <c r="F313" s="245"/>
      <c r="G313" s="245"/>
      <c r="H313" s="245"/>
      <c r="I313" s="245"/>
      <c r="J313" s="245"/>
      <c r="K313" s="245"/>
      <c r="L313" s="245"/>
      <c r="AR313" s="423"/>
      <c r="AS313" s="423"/>
      <c r="AT313" s="245"/>
    </row>
    <row r="314" spans="1:46" ht="13.5">
      <c r="A314" s="245"/>
      <c r="B314" s="245"/>
      <c r="C314" s="245"/>
      <c r="D314" s="245"/>
      <c r="E314" s="245"/>
      <c r="F314" s="245"/>
      <c r="G314" s="245"/>
      <c r="H314" s="245"/>
      <c r="I314" s="245"/>
      <c r="J314" s="245"/>
      <c r="K314" s="245"/>
      <c r="L314" s="245"/>
      <c r="AR314" s="423"/>
      <c r="AS314" s="423"/>
      <c r="AT314" s="245"/>
    </row>
    <row r="315" spans="1:46" ht="13.5">
      <c r="A315" s="245"/>
      <c r="B315" s="245"/>
      <c r="C315" s="245"/>
      <c r="D315" s="245"/>
      <c r="E315" s="245"/>
      <c r="F315" s="245"/>
      <c r="G315" s="245"/>
      <c r="H315" s="245"/>
      <c r="I315" s="245"/>
      <c r="J315" s="245"/>
      <c r="K315" s="245"/>
      <c r="L315" s="245"/>
      <c r="AR315" s="423"/>
      <c r="AS315" s="423"/>
      <c r="AT315" s="245"/>
    </row>
    <row r="316" spans="1:46" ht="13.5">
      <c r="A316" s="245"/>
      <c r="B316" s="245"/>
      <c r="C316" s="245"/>
      <c r="D316" s="245"/>
      <c r="E316" s="245"/>
      <c r="F316" s="245"/>
      <c r="G316" s="245"/>
      <c r="H316" s="245"/>
      <c r="I316" s="245"/>
      <c r="J316" s="245"/>
      <c r="K316" s="245"/>
      <c r="L316" s="245"/>
      <c r="AR316" s="423"/>
      <c r="AS316" s="423"/>
      <c r="AT316" s="245"/>
    </row>
    <row r="317" spans="1:46" ht="13.5">
      <c r="A317" s="245"/>
      <c r="B317" s="245"/>
      <c r="C317" s="245"/>
      <c r="D317" s="245"/>
      <c r="E317" s="245"/>
      <c r="F317" s="245"/>
      <c r="G317" s="245"/>
      <c r="H317" s="245"/>
      <c r="I317" s="245"/>
      <c r="J317" s="245"/>
      <c r="K317" s="245"/>
      <c r="L317" s="245"/>
      <c r="AR317" s="423"/>
      <c r="AS317" s="423"/>
      <c r="AT317" s="245"/>
    </row>
    <row r="318" spans="1:46" ht="13.5">
      <c r="A318" s="245"/>
      <c r="B318" s="245"/>
      <c r="C318" s="245"/>
      <c r="D318" s="245"/>
      <c r="E318" s="245"/>
      <c r="F318" s="245"/>
      <c r="G318" s="245"/>
      <c r="H318" s="245"/>
      <c r="I318" s="245"/>
      <c r="J318" s="245"/>
      <c r="K318" s="245"/>
      <c r="L318" s="245"/>
      <c r="AR318" s="423"/>
      <c r="AS318" s="423"/>
      <c r="AT318" s="245"/>
    </row>
    <row r="319" spans="1:46" ht="13.5">
      <c r="A319" s="245"/>
      <c r="B319" s="245"/>
      <c r="C319" s="245"/>
      <c r="D319" s="245"/>
      <c r="E319" s="245"/>
      <c r="F319" s="245"/>
      <c r="G319" s="245"/>
      <c r="H319" s="245"/>
      <c r="I319" s="245"/>
      <c r="J319" s="245"/>
      <c r="K319" s="245"/>
      <c r="L319" s="245"/>
      <c r="AR319" s="423"/>
      <c r="AS319" s="423"/>
      <c r="AT319" s="245"/>
    </row>
    <row r="320" spans="1:46" ht="13.5">
      <c r="A320" s="245"/>
      <c r="B320" s="245"/>
      <c r="C320" s="245"/>
      <c r="D320" s="245"/>
      <c r="E320" s="245"/>
      <c r="F320" s="245"/>
      <c r="G320" s="245"/>
      <c r="H320" s="245"/>
      <c r="I320" s="245"/>
      <c r="J320" s="245"/>
      <c r="K320" s="245"/>
      <c r="L320" s="245"/>
      <c r="AR320" s="423"/>
      <c r="AS320" s="423"/>
      <c r="AT320" s="245"/>
    </row>
    <row r="321" spans="1:46" ht="13.5">
      <c r="A321" s="245"/>
      <c r="B321" s="245"/>
      <c r="C321" s="245"/>
      <c r="D321" s="245"/>
      <c r="E321" s="245"/>
      <c r="F321" s="245"/>
      <c r="G321" s="245"/>
      <c r="H321" s="245"/>
      <c r="I321" s="245"/>
      <c r="J321" s="245"/>
      <c r="K321" s="245"/>
      <c r="L321" s="245"/>
      <c r="AR321" s="423"/>
      <c r="AS321" s="423"/>
      <c r="AT321" s="245"/>
    </row>
    <row r="322" spans="1:46" ht="13.5">
      <c r="A322" s="245"/>
      <c r="B322" s="245"/>
      <c r="C322" s="245"/>
      <c r="D322" s="245"/>
      <c r="E322" s="245"/>
      <c r="F322" s="245"/>
      <c r="G322" s="245"/>
      <c r="H322" s="245"/>
      <c r="I322" s="245"/>
      <c r="J322" s="245"/>
      <c r="K322" s="245"/>
      <c r="L322" s="245"/>
      <c r="AR322" s="423"/>
      <c r="AS322" s="423"/>
      <c r="AT322" s="245"/>
    </row>
    <row r="323" spans="1:46" ht="13.5">
      <c r="A323" s="245"/>
      <c r="B323" s="245"/>
      <c r="C323" s="245"/>
      <c r="D323" s="245"/>
      <c r="E323" s="245"/>
      <c r="F323" s="245"/>
      <c r="G323" s="245"/>
      <c r="H323" s="245"/>
      <c r="I323" s="245"/>
      <c r="J323" s="245"/>
      <c r="K323" s="245"/>
      <c r="L323" s="245"/>
      <c r="AR323" s="423"/>
      <c r="AS323" s="423"/>
      <c r="AT323" s="245"/>
    </row>
    <row r="324" spans="1:46" ht="13.5">
      <c r="A324" s="245"/>
      <c r="B324" s="245"/>
      <c r="C324" s="245"/>
      <c r="D324" s="245"/>
      <c r="E324" s="245"/>
      <c r="F324" s="245"/>
      <c r="G324" s="245"/>
      <c r="H324" s="245"/>
      <c r="I324" s="245"/>
      <c r="J324" s="245"/>
      <c r="K324" s="245"/>
      <c r="L324" s="245"/>
      <c r="AR324" s="423"/>
      <c r="AS324" s="423"/>
      <c r="AT324" s="245"/>
    </row>
    <row r="325" spans="1:46" ht="13.5">
      <c r="A325" s="245"/>
      <c r="B325" s="245"/>
      <c r="C325" s="245"/>
      <c r="D325" s="245"/>
      <c r="E325" s="245"/>
      <c r="F325" s="245"/>
      <c r="G325" s="245"/>
      <c r="H325" s="245"/>
      <c r="I325" s="245"/>
      <c r="J325" s="245"/>
      <c r="K325" s="245"/>
      <c r="L325" s="245"/>
      <c r="AR325" s="423"/>
      <c r="AS325" s="423"/>
      <c r="AT325" s="245"/>
    </row>
    <row r="326" spans="1:46" ht="13.5">
      <c r="A326" s="245"/>
      <c r="B326" s="245"/>
      <c r="C326" s="245"/>
      <c r="D326" s="245"/>
      <c r="E326" s="245"/>
      <c r="F326" s="245"/>
      <c r="G326" s="245"/>
      <c r="H326" s="245"/>
      <c r="I326" s="245"/>
      <c r="J326" s="245"/>
      <c r="K326" s="245"/>
      <c r="L326" s="245"/>
      <c r="AR326" s="423"/>
      <c r="AS326" s="423"/>
      <c r="AT326" s="245"/>
    </row>
    <row r="327" spans="1:46" ht="13.5">
      <c r="A327" s="245"/>
      <c r="B327" s="245"/>
      <c r="C327" s="245"/>
      <c r="D327" s="245"/>
      <c r="E327" s="245"/>
      <c r="F327" s="245"/>
      <c r="G327" s="245"/>
      <c r="H327" s="245"/>
      <c r="I327" s="245"/>
      <c r="J327" s="245"/>
      <c r="K327" s="245"/>
      <c r="L327" s="245"/>
      <c r="AR327" s="423"/>
      <c r="AS327" s="423"/>
      <c r="AT327" s="245"/>
    </row>
    <row r="328" spans="1:46" ht="13.5">
      <c r="A328" s="245"/>
      <c r="B328" s="245"/>
      <c r="C328" s="245"/>
      <c r="D328" s="245"/>
      <c r="E328" s="245"/>
      <c r="F328" s="245"/>
      <c r="G328" s="245"/>
      <c r="H328" s="245"/>
      <c r="I328" s="245"/>
      <c r="J328" s="245"/>
      <c r="K328" s="245"/>
      <c r="L328" s="245"/>
      <c r="AR328" s="423"/>
      <c r="AS328" s="423"/>
      <c r="AT328" s="245"/>
    </row>
    <row r="329" spans="1:46" ht="13.5">
      <c r="A329" s="245"/>
      <c r="B329" s="245"/>
      <c r="C329" s="245"/>
      <c r="D329" s="245"/>
      <c r="E329" s="245"/>
      <c r="F329" s="245"/>
      <c r="G329" s="245"/>
      <c r="H329" s="245"/>
      <c r="I329" s="245"/>
      <c r="J329" s="245"/>
      <c r="K329" s="245"/>
      <c r="L329" s="245"/>
      <c r="AR329" s="423"/>
      <c r="AS329" s="423"/>
      <c r="AT329" s="245"/>
    </row>
    <row r="330" spans="1:46" ht="13.5">
      <c r="A330" s="245"/>
      <c r="B330" s="245"/>
      <c r="C330" s="245"/>
      <c r="D330" s="245"/>
      <c r="E330" s="245"/>
      <c r="F330" s="245"/>
      <c r="G330" s="245"/>
      <c r="H330" s="245"/>
      <c r="I330" s="245"/>
      <c r="J330" s="245"/>
      <c r="K330" s="245"/>
      <c r="L330" s="245"/>
      <c r="AR330" s="423"/>
      <c r="AS330" s="423"/>
      <c r="AT330" s="245"/>
    </row>
    <row r="331" spans="1:46" ht="13.5">
      <c r="A331" s="245"/>
      <c r="B331" s="245"/>
      <c r="C331" s="245"/>
      <c r="D331" s="245"/>
      <c r="E331" s="245"/>
      <c r="F331" s="245"/>
      <c r="G331" s="245"/>
      <c r="H331" s="245"/>
      <c r="I331" s="245"/>
      <c r="J331" s="245"/>
      <c r="K331" s="245"/>
      <c r="L331" s="245"/>
      <c r="AR331" s="423"/>
      <c r="AS331" s="423"/>
      <c r="AT331" s="245"/>
    </row>
    <row r="332" spans="1:46" ht="13.5">
      <c r="A332" s="245"/>
      <c r="B332" s="245"/>
      <c r="C332" s="245"/>
      <c r="D332" s="245"/>
      <c r="E332" s="245"/>
      <c r="F332" s="245"/>
      <c r="G332" s="245"/>
      <c r="H332" s="245"/>
      <c r="I332" s="245"/>
      <c r="J332" s="245"/>
      <c r="K332" s="245"/>
      <c r="L332" s="245"/>
      <c r="AR332" s="423"/>
      <c r="AS332" s="423"/>
      <c r="AT332" s="245"/>
    </row>
    <row r="333" spans="1:46" ht="13.5">
      <c r="A333" s="245"/>
      <c r="B333" s="245"/>
      <c r="C333" s="245"/>
      <c r="D333" s="245"/>
      <c r="E333" s="245"/>
      <c r="F333" s="245"/>
      <c r="G333" s="245"/>
      <c r="H333" s="245"/>
      <c r="I333" s="245"/>
      <c r="J333" s="245"/>
      <c r="K333" s="245"/>
      <c r="L333" s="245"/>
      <c r="AR333" s="423"/>
      <c r="AS333" s="423"/>
      <c r="AT333" s="245"/>
    </row>
    <row r="334" spans="1:46" ht="13.5">
      <c r="A334" s="245"/>
      <c r="B334" s="245"/>
      <c r="C334" s="245"/>
      <c r="D334" s="245"/>
      <c r="E334" s="245"/>
      <c r="F334" s="245"/>
      <c r="G334" s="245"/>
      <c r="H334" s="245"/>
      <c r="I334" s="245"/>
      <c r="J334" s="245"/>
      <c r="K334" s="245"/>
      <c r="L334" s="245"/>
      <c r="AR334" s="423"/>
      <c r="AS334" s="423"/>
      <c r="AT334" s="245"/>
    </row>
    <row r="335" spans="1:46" ht="13.5">
      <c r="A335" s="245"/>
      <c r="B335" s="245"/>
      <c r="C335" s="245"/>
      <c r="D335" s="245"/>
      <c r="E335" s="245"/>
      <c r="F335" s="245"/>
      <c r="G335" s="245"/>
      <c r="H335" s="245"/>
      <c r="I335" s="245"/>
      <c r="J335" s="245"/>
      <c r="K335" s="245"/>
      <c r="L335" s="245"/>
      <c r="AR335" s="423"/>
      <c r="AS335" s="423"/>
      <c r="AT335" s="245"/>
    </row>
    <row r="336" spans="1:46" ht="13.5">
      <c r="A336" s="245"/>
      <c r="B336" s="245"/>
      <c r="C336" s="245"/>
      <c r="D336" s="245"/>
      <c r="E336" s="245"/>
      <c r="F336" s="245"/>
      <c r="G336" s="245"/>
      <c r="H336" s="245"/>
      <c r="I336" s="245"/>
      <c r="J336" s="245"/>
      <c r="K336" s="245"/>
      <c r="L336" s="245"/>
      <c r="AR336" s="423"/>
      <c r="AS336" s="423"/>
      <c r="AT336" s="245"/>
    </row>
    <row r="337" spans="1:46" ht="13.5">
      <c r="A337" s="245"/>
      <c r="B337" s="245"/>
      <c r="C337" s="245"/>
      <c r="D337" s="245"/>
      <c r="E337" s="245"/>
      <c r="F337" s="245"/>
      <c r="G337" s="245"/>
      <c r="H337" s="245"/>
      <c r="I337" s="245"/>
      <c r="J337" s="245"/>
      <c r="K337" s="245"/>
      <c r="L337" s="245"/>
      <c r="AR337" s="423"/>
      <c r="AS337" s="423"/>
      <c r="AT337" s="245"/>
    </row>
    <row r="338" spans="1:46" ht="13.5">
      <c r="A338" s="245"/>
      <c r="B338" s="245"/>
      <c r="C338" s="245"/>
      <c r="D338" s="245"/>
      <c r="E338" s="245"/>
      <c r="F338" s="245"/>
      <c r="G338" s="245"/>
      <c r="H338" s="245"/>
      <c r="I338" s="245"/>
      <c r="J338" s="245"/>
      <c r="K338" s="245"/>
      <c r="L338" s="245"/>
      <c r="AR338" s="423"/>
      <c r="AS338" s="423"/>
      <c r="AT338" s="245"/>
    </row>
    <row r="339" spans="1:46" ht="13.5">
      <c r="A339" s="245"/>
      <c r="B339" s="245"/>
      <c r="C339" s="245"/>
      <c r="D339" s="245"/>
      <c r="E339" s="245"/>
      <c r="F339" s="245"/>
      <c r="G339" s="245"/>
      <c r="H339" s="245"/>
      <c r="I339" s="245"/>
      <c r="J339" s="245"/>
      <c r="K339" s="245"/>
      <c r="L339" s="245"/>
      <c r="AR339" s="423"/>
      <c r="AS339" s="423"/>
      <c r="AT339" s="245"/>
    </row>
    <row r="340" spans="1:46" ht="13.5">
      <c r="A340" s="245"/>
      <c r="B340" s="245"/>
      <c r="C340" s="245"/>
      <c r="D340" s="245"/>
      <c r="E340" s="245"/>
      <c r="F340" s="245"/>
      <c r="G340" s="245"/>
      <c r="H340" s="245"/>
      <c r="I340" s="245"/>
      <c r="J340" s="245"/>
      <c r="K340" s="245"/>
      <c r="L340" s="245"/>
      <c r="AR340" s="423"/>
      <c r="AS340" s="423"/>
      <c r="AT340" s="245"/>
    </row>
    <row r="341" spans="1:46" ht="13.5">
      <c r="A341" s="245"/>
      <c r="B341" s="245"/>
      <c r="C341" s="245"/>
      <c r="D341" s="245"/>
      <c r="E341" s="245"/>
      <c r="F341" s="245"/>
      <c r="G341" s="245"/>
      <c r="H341" s="245"/>
      <c r="I341" s="245"/>
      <c r="J341" s="245"/>
      <c r="K341" s="245"/>
      <c r="L341" s="245"/>
      <c r="AR341" s="423"/>
      <c r="AS341" s="423"/>
      <c r="AT341" s="245"/>
    </row>
    <row r="342" spans="1:46" ht="13.5">
      <c r="A342" s="245"/>
      <c r="B342" s="245"/>
      <c r="C342" s="245"/>
      <c r="D342" s="245"/>
      <c r="E342" s="245"/>
      <c r="F342" s="245"/>
      <c r="G342" s="245"/>
      <c r="H342" s="245"/>
      <c r="I342" s="245"/>
      <c r="J342" s="245"/>
      <c r="K342" s="245"/>
      <c r="L342" s="245"/>
      <c r="AR342" s="423"/>
      <c r="AS342" s="423"/>
      <c r="AT342" s="245"/>
    </row>
    <row r="343" spans="1:46" ht="13.5">
      <c r="A343" s="245"/>
      <c r="B343" s="245"/>
      <c r="C343" s="245"/>
      <c r="D343" s="245"/>
      <c r="E343" s="245"/>
      <c r="F343" s="245"/>
      <c r="G343" s="245"/>
      <c r="H343" s="245"/>
      <c r="I343" s="245"/>
      <c r="J343" s="245"/>
      <c r="K343" s="245"/>
      <c r="L343" s="245"/>
      <c r="AR343" s="423"/>
      <c r="AS343" s="423"/>
      <c r="AT343" s="245"/>
    </row>
    <row r="344" spans="1:46" ht="13.5">
      <c r="A344" s="245"/>
      <c r="B344" s="245"/>
      <c r="C344" s="245"/>
      <c r="D344" s="245"/>
      <c r="E344" s="245"/>
      <c r="F344" s="245"/>
      <c r="G344" s="245"/>
      <c r="H344" s="245"/>
      <c r="I344" s="245"/>
      <c r="J344" s="245"/>
      <c r="K344" s="245"/>
      <c r="L344" s="245"/>
      <c r="AR344" s="423"/>
      <c r="AS344" s="423"/>
      <c r="AT344" s="245"/>
    </row>
    <row r="345" spans="1:46" ht="13.5">
      <c r="A345" s="245"/>
      <c r="B345" s="245"/>
      <c r="C345" s="245"/>
      <c r="D345" s="245"/>
      <c r="E345" s="245"/>
      <c r="F345" s="245"/>
      <c r="G345" s="245"/>
      <c r="H345" s="245"/>
      <c r="I345" s="245"/>
      <c r="J345" s="245"/>
      <c r="K345" s="245"/>
      <c r="L345" s="245"/>
      <c r="AR345" s="423"/>
      <c r="AS345" s="423"/>
      <c r="AT345" s="245"/>
    </row>
    <row r="346" spans="1:46" ht="13.5">
      <c r="A346" s="245"/>
      <c r="B346" s="245"/>
      <c r="C346" s="245"/>
      <c r="D346" s="245"/>
      <c r="E346" s="245"/>
      <c r="F346" s="245"/>
      <c r="G346" s="245"/>
      <c r="H346" s="245"/>
      <c r="I346" s="245"/>
      <c r="J346" s="245"/>
      <c r="K346" s="245"/>
      <c r="L346" s="245"/>
      <c r="AR346" s="423"/>
      <c r="AS346" s="423"/>
      <c r="AT346" s="245"/>
    </row>
    <row r="347" spans="1:46" ht="13.5">
      <c r="A347" s="245"/>
      <c r="B347" s="245"/>
      <c r="C347" s="245"/>
      <c r="D347" s="245"/>
      <c r="E347" s="245"/>
      <c r="F347" s="245"/>
      <c r="G347" s="245"/>
      <c r="H347" s="245"/>
      <c r="I347" s="245"/>
      <c r="J347" s="245"/>
      <c r="K347" s="245"/>
      <c r="L347" s="245"/>
      <c r="AR347" s="423"/>
      <c r="AS347" s="423"/>
      <c r="AT347" s="245"/>
    </row>
    <row r="348" spans="1:46" ht="13.5">
      <c r="A348" s="245"/>
      <c r="B348" s="245"/>
      <c r="C348" s="245"/>
      <c r="D348" s="245"/>
      <c r="E348" s="245"/>
      <c r="F348" s="245"/>
      <c r="G348" s="245"/>
      <c r="H348" s="245"/>
      <c r="I348" s="245"/>
      <c r="J348" s="245"/>
      <c r="K348" s="245"/>
      <c r="L348" s="245"/>
      <c r="AR348" s="423"/>
      <c r="AS348" s="423"/>
      <c r="AT348" s="245"/>
    </row>
    <row r="349" spans="1:46" ht="13.5">
      <c r="A349" s="245"/>
      <c r="B349" s="245"/>
      <c r="C349" s="245"/>
      <c r="D349" s="245"/>
      <c r="E349" s="245"/>
      <c r="F349" s="245"/>
      <c r="G349" s="245"/>
      <c r="H349" s="245"/>
      <c r="I349" s="245"/>
      <c r="J349" s="245"/>
      <c r="K349" s="245"/>
      <c r="L349" s="245"/>
      <c r="AR349" s="423"/>
      <c r="AS349" s="423"/>
      <c r="AT349" s="245"/>
    </row>
    <row r="350" spans="1:46" ht="13.5">
      <c r="A350" s="245"/>
      <c r="B350" s="245"/>
      <c r="C350" s="245"/>
      <c r="D350" s="245"/>
      <c r="E350" s="245"/>
      <c r="F350" s="245"/>
      <c r="G350" s="245"/>
      <c r="H350" s="245"/>
      <c r="I350" s="245"/>
      <c r="J350" s="245"/>
      <c r="K350" s="245"/>
      <c r="L350" s="245"/>
      <c r="AR350" s="423"/>
      <c r="AS350" s="423"/>
      <c r="AT350" s="245"/>
    </row>
    <row r="351" spans="1:46" ht="13.5">
      <c r="A351" s="245"/>
      <c r="B351" s="245"/>
      <c r="C351" s="245"/>
      <c r="D351" s="245"/>
      <c r="E351" s="245"/>
      <c r="F351" s="245"/>
      <c r="G351" s="245"/>
      <c r="H351" s="245"/>
      <c r="I351" s="245"/>
      <c r="J351" s="245"/>
      <c r="K351" s="245"/>
      <c r="L351" s="245"/>
      <c r="AR351" s="423"/>
      <c r="AS351" s="423"/>
      <c r="AT351" s="245"/>
    </row>
    <row r="352" spans="1:46" ht="13.5">
      <c r="A352" s="245"/>
      <c r="B352" s="245"/>
      <c r="C352" s="245"/>
      <c r="D352" s="245"/>
      <c r="E352" s="245"/>
      <c r="F352" s="245"/>
      <c r="G352" s="245"/>
      <c r="H352" s="245"/>
      <c r="I352" s="245"/>
      <c r="J352" s="245"/>
      <c r="K352" s="245"/>
      <c r="L352" s="245"/>
      <c r="AR352" s="423"/>
      <c r="AS352" s="423"/>
      <c r="AT352" s="245"/>
    </row>
    <row r="353" spans="1:46" ht="13.5">
      <c r="A353" s="245"/>
      <c r="B353" s="245"/>
      <c r="C353" s="245"/>
      <c r="D353" s="245"/>
      <c r="E353" s="245"/>
      <c r="F353" s="245"/>
      <c r="G353" s="245"/>
      <c r="H353" s="245"/>
      <c r="I353" s="245"/>
      <c r="J353" s="245"/>
      <c r="K353" s="245"/>
      <c r="L353" s="245"/>
      <c r="AR353" s="423"/>
      <c r="AS353" s="423"/>
      <c r="AT353" s="245"/>
    </row>
    <row r="354" spans="1:46" ht="13.5">
      <c r="A354" s="245"/>
      <c r="B354" s="245"/>
      <c r="C354" s="245"/>
      <c r="D354" s="245"/>
      <c r="E354" s="245"/>
      <c r="F354" s="245"/>
      <c r="G354" s="245"/>
      <c r="H354" s="245"/>
      <c r="I354" s="245"/>
      <c r="J354" s="245"/>
      <c r="K354" s="245"/>
      <c r="L354" s="245"/>
      <c r="AR354" s="423"/>
      <c r="AS354" s="423"/>
      <c r="AT354" s="245"/>
    </row>
    <row r="355" spans="1:46" ht="13.5">
      <c r="A355" s="245"/>
      <c r="B355" s="245"/>
      <c r="C355" s="245"/>
      <c r="D355" s="245"/>
      <c r="E355" s="245"/>
      <c r="F355" s="245"/>
      <c r="G355" s="245"/>
      <c r="H355" s="245"/>
      <c r="I355" s="245"/>
      <c r="J355" s="245"/>
      <c r="K355" s="245"/>
      <c r="L355" s="245"/>
      <c r="AR355" s="423"/>
      <c r="AS355" s="423"/>
      <c r="AT355" s="245"/>
    </row>
    <row r="356" spans="1:46" ht="13.5">
      <c r="A356" s="245"/>
      <c r="B356" s="245"/>
      <c r="C356" s="245"/>
      <c r="D356" s="245"/>
      <c r="E356" s="245"/>
      <c r="F356" s="245"/>
      <c r="G356" s="245"/>
      <c r="H356" s="245"/>
      <c r="I356" s="245"/>
      <c r="J356" s="245"/>
      <c r="K356" s="245"/>
      <c r="L356" s="245"/>
      <c r="AR356" s="423"/>
      <c r="AS356" s="423"/>
      <c r="AT356" s="245"/>
    </row>
    <row r="357" spans="1:46" ht="13.5">
      <c r="A357" s="245"/>
      <c r="B357" s="245"/>
      <c r="C357" s="245"/>
      <c r="D357" s="245"/>
      <c r="E357" s="245"/>
      <c r="F357" s="245"/>
      <c r="G357" s="245"/>
      <c r="H357" s="245"/>
      <c r="I357" s="245"/>
      <c r="J357" s="245"/>
      <c r="K357" s="245"/>
      <c r="L357" s="245"/>
      <c r="AR357" s="423"/>
      <c r="AS357" s="423"/>
      <c r="AT357" s="245"/>
    </row>
    <row r="358" spans="1:46" ht="13.5">
      <c r="A358" s="245"/>
      <c r="B358" s="245"/>
      <c r="C358" s="245"/>
      <c r="D358" s="245"/>
      <c r="E358" s="245"/>
      <c r="F358" s="245"/>
      <c r="G358" s="245"/>
      <c r="H358" s="245"/>
      <c r="I358" s="245"/>
      <c r="J358" s="245"/>
      <c r="K358" s="245"/>
      <c r="L358" s="245"/>
      <c r="AR358" s="423"/>
      <c r="AS358" s="423"/>
      <c r="AT358" s="245"/>
    </row>
    <row r="359" spans="1:46" ht="13.5">
      <c r="A359" s="245"/>
      <c r="B359" s="245"/>
      <c r="C359" s="245"/>
      <c r="D359" s="245"/>
      <c r="E359" s="245"/>
      <c r="F359" s="245"/>
      <c r="G359" s="245"/>
      <c r="H359" s="245"/>
      <c r="I359" s="245"/>
      <c r="J359" s="245"/>
      <c r="K359" s="245"/>
      <c r="L359" s="245"/>
      <c r="AR359" s="423"/>
      <c r="AS359" s="423"/>
      <c r="AT359" s="245"/>
    </row>
    <row r="360" spans="1:46" ht="13.5">
      <c r="A360" s="245"/>
      <c r="B360" s="245"/>
      <c r="C360" s="245"/>
      <c r="D360" s="245"/>
      <c r="E360" s="245"/>
      <c r="F360" s="245"/>
      <c r="G360" s="245"/>
      <c r="H360" s="245"/>
      <c r="I360" s="245"/>
      <c r="J360" s="245"/>
      <c r="K360" s="245"/>
      <c r="L360" s="245"/>
      <c r="AR360" s="423"/>
      <c r="AS360" s="423"/>
      <c r="AT360" s="245"/>
    </row>
    <row r="361" spans="1:46" ht="13.5">
      <c r="A361" s="245"/>
      <c r="B361" s="245"/>
      <c r="C361" s="245"/>
      <c r="D361" s="245"/>
      <c r="E361" s="245"/>
      <c r="F361" s="245"/>
      <c r="G361" s="245"/>
      <c r="H361" s="245"/>
      <c r="I361" s="245"/>
      <c r="J361" s="245"/>
      <c r="K361" s="245"/>
      <c r="L361" s="245"/>
      <c r="AR361" s="423"/>
      <c r="AS361" s="423"/>
      <c r="AT361" s="245"/>
    </row>
    <row r="362" spans="1:46" ht="13.5">
      <c r="A362" s="245"/>
      <c r="B362" s="245"/>
      <c r="C362" s="245"/>
      <c r="D362" s="245"/>
      <c r="E362" s="245"/>
      <c r="F362" s="245"/>
      <c r="G362" s="245"/>
      <c r="H362" s="245"/>
      <c r="I362" s="245"/>
      <c r="J362" s="245"/>
      <c r="K362" s="245"/>
      <c r="L362" s="245"/>
      <c r="AR362" s="423"/>
      <c r="AS362" s="423"/>
      <c r="AT362" s="245"/>
    </row>
    <row r="363" spans="1:46" ht="13.5">
      <c r="A363" s="245"/>
      <c r="B363" s="245"/>
      <c r="C363" s="245"/>
      <c r="D363" s="245"/>
      <c r="E363" s="245"/>
      <c r="F363" s="245"/>
      <c r="G363" s="245"/>
      <c r="H363" s="245"/>
      <c r="I363" s="245"/>
      <c r="J363" s="245"/>
      <c r="K363" s="245"/>
      <c r="L363" s="245"/>
      <c r="AR363" s="423"/>
      <c r="AS363" s="423"/>
      <c r="AT363" s="245"/>
    </row>
    <row r="364" spans="1:46" ht="13.5">
      <c r="A364" s="245"/>
      <c r="B364" s="245"/>
      <c r="C364" s="245"/>
      <c r="D364" s="245"/>
      <c r="E364" s="245"/>
      <c r="F364" s="245"/>
      <c r="G364" s="245"/>
      <c r="H364" s="245"/>
      <c r="I364" s="245"/>
      <c r="J364" s="245"/>
      <c r="K364" s="245"/>
      <c r="L364" s="245"/>
      <c r="AR364" s="423"/>
      <c r="AS364" s="423"/>
      <c r="AT364" s="245"/>
    </row>
    <row r="365" spans="1:46" ht="13.5">
      <c r="A365" s="245"/>
      <c r="B365" s="245"/>
      <c r="C365" s="245"/>
      <c r="D365" s="245"/>
      <c r="E365" s="245"/>
      <c r="F365" s="245"/>
      <c r="G365" s="245"/>
      <c r="H365" s="245"/>
      <c r="I365" s="245"/>
      <c r="J365" s="245"/>
      <c r="K365" s="245"/>
      <c r="L365" s="245"/>
      <c r="AR365" s="423"/>
      <c r="AS365" s="423"/>
      <c r="AT365" s="245"/>
    </row>
    <row r="366" spans="1:46" ht="13.5">
      <c r="A366" s="245"/>
      <c r="B366" s="245"/>
      <c r="C366" s="245"/>
      <c r="D366" s="245"/>
      <c r="E366" s="245"/>
      <c r="F366" s="245"/>
      <c r="G366" s="245"/>
      <c r="H366" s="245"/>
      <c r="I366" s="245"/>
      <c r="J366" s="245"/>
      <c r="K366" s="245"/>
      <c r="L366" s="245"/>
      <c r="AR366" s="423"/>
      <c r="AS366" s="423"/>
      <c r="AT366" s="245"/>
    </row>
    <row r="367" spans="1:46" ht="13.5">
      <c r="A367" s="245"/>
      <c r="B367" s="245"/>
      <c r="C367" s="245"/>
      <c r="D367" s="245"/>
      <c r="E367" s="245"/>
      <c r="F367" s="245"/>
      <c r="G367" s="245"/>
      <c r="H367" s="245"/>
      <c r="I367" s="245"/>
      <c r="J367" s="245"/>
      <c r="K367" s="245"/>
      <c r="L367" s="245"/>
      <c r="AR367" s="423"/>
      <c r="AS367" s="423"/>
      <c r="AT367" s="245"/>
    </row>
    <row r="368" spans="1:46" ht="13.5">
      <c r="A368" s="245"/>
      <c r="B368" s="245"/>
      <c r="C368" s="245"/>
      <c r="D368" s="245"/>
      <c r="E368" s="245"/>
      <c r="F368" s="245"/>
      <c r="G368" s="245"/>
      <c r="H368" s="245"/>
      <c r="I368" s="245"/>
      <c r="J368" s="245"/>
      <c r="K368" s="245"/>
      <c r="L368" s="245"/>
      <c r="AR368" s="423"/>
      <c r="AS368" s="423"/>
      <c r="AT368" s="245"/>
    </row>
    <row r="369" spans="1:46" ht="13.5">
      <c r="A369" s="245"/>
      <c r="B369" s="245"/>
      <c r="C369" s="245"/>
      <c r="D369" s="245"/>
      <c r="E369" s="245"/>
      <c r="F369" s="245"/>
      <c r="G369" s="245"/>
      <c r="H369" s="245"/>
      <c r="I369" s="245"/>
      <c r="J369" s="245"/>
      <c r="K369" s="245"/>
      <c r="L369" s="245"/>
      <c r="AR369" s="423"/>
      <c r="AS369" s="423"/>
      <c r="AT369" s="245"/>
    </row>
    <row r="370" spans="1:46" ht="13.5">
      <c r="A370" s="245"/>
      <c r="B370" s="245"/>
      <c r="C370" s="245"/>
      <c r="D370" s="245"/>
      <c r="E370" s="245"/>
      <c r="F370" s="245"/>
      <c r="G370" s="245"/>
      <c r="H370" s="245"/>
      <c r="I370" s="245"/>
      <c r="J370" s="245"/>
      <c r="K370" s="245"/>
      <c r="L370" s="245"/>
      <c r="AR370" s="423"/>
      <c r="AS370" s="423"/>
      <c r="AT370" s="245"/>
    </row>
    <row r="371" spans="1:46" ht="13.5">
      <c r="A371" s="245"/>
      <c r="B371" s="245"/>
      <c r="C371" s="245"/>
      <c r="D371" s="245"/>
      <c r="E371" s="245"/>
      <c r="F371" s="245"/>
      <c r="G371" s="245"/>
      <c r="H371" s="245"/>
      <c r="I371" s="245"/>
      <c r="J371" s="245"/>
      <c r="K371" s="245"/>
      <c r="L371" s="245"/>
      <c r="AR371" s="423"/>
      <c r="AS371" s="423"/>
      <c r="AT371" s="245"/>
    </row>
    <row r="372" spans="1:46" ht="13.5">
      <c r="A372" s="245"/>
      <c r="B372" s="245"/>
      <c r="C372" s="245"/>
      <c r="D372" s="245"/>
      <c r="E372" s="245"/>
      <c r="F372" s="245"/>
      <c r="G372" s="245"/>
      <c r="H372" s="245"/>
      <c r="I372" s="245"/>
      <c r="J372" s="245"/>
      <c r="K372" s="245"/>
      <c r="L372" s="245"/>
      <c r="AR372" s="423"/>
      <c r="AS372" s="423"/>
      <c r="AT372" s="245"/>
    </row>
    <row r="373" spans="1:46" ht="13.5">
      <c r="A373" s="245"/>
      <c r="B373" s="245"/>
      <c r="C373" s="245"/>
      <c r="D373" s="245"/>
      <c r="E373" s="245"/>
      <c r="F373" s="245"/>
      <c r="G373" s="245"/>
      <c r="H373" s="245"/>
      <c r="I373" s="245"/>
      <c r="J373" s="245"/>
      <c r="K373" s="245"/>
      <c r="L373" s="245"/>
      <c r="AR373" s="423"/>
      <c r="AS373" s="423"/>
      <c r="AT373" s="245"/>
    </row>
    <row r="374" spans="1:46" ht="13.5">
      <c r="A374" s="245"/>
      <c r="B374" s="245"/>
      <c r="C374" s="245"/>
      <c r="D374" s="245"/>
      <c r="E374" s="245"/>
      <c r="F374" s="245"/>
      <c r="G374" s="245"/>
      <c r="H374" s="245"/>
      <c r="I374" s="245"/>
      <c r="J374" s="245"/>
      <c r="K374" s="245"/>
      <c r="L374" s="245"/>
      <c r="AR374" s="423"/>
      <c r="AS374" s="423"/>
      <c r="AT374" s="245"/>
    </row>
    <row r="375" spans="1:46" ht="13.5">
      <c r="A375" s="245"/>
      <c r="B375" s="245"/>
      <c r="C375" s="245"/>
      <c r="D375" s="245"/>
      <c r="E375" s="245"/>
      <c r="F375" s="245"/>
      <c r="G375" s="245"/>
      <c r="H375" s="245"/>
      <c r="I375" s="245"/>
      <c r="J375" s="245"/>
      <c r="K375" s="245"/>
      <c r="L375" s="245"/>
      <c r="AR375" s="423"/>
      <c r="AS375" s="423"/>
      <c r="AT375" s="245"/>
    </row>
    <row r="376" spans="1:46" ht="13.5">
      <c r="A376" s="245"/>
      <c r="B376" s="245"/>
      <c r="C376" s="245"/>
      <c r="D376" s="245"/>
      <c r="E376" s="245"/>
      <c r="F376" s="245"/>
      <c r="G376" s="245"/>
      <c r="H376" s="245"/>
      <c r="I376" s="245"/>
      <c r="J376" s="245"/>
      <c r="K376" s="245"/>
      <c r="L376" s="245"/>
      <c r="AR376" s="423"/>
      <c r="AS376" s="423"/>
      <c r="AT376" s="245"/>
    </row>
    <row r="377" spans="1:46" ht="13.5">
      <c r="A377" s="245"/>
      <c r="B377" s="245"/>
      <c r="C377" s="245"/>
      <c r="D377" s="245"/>
      <c r="E377" s="245"/>
      <c r="F377" s="245"/>
      <c r="G377" s="245"/>
      <c r="H377" s="245"/>
      <c r="I377" s="245"/>
      <c r="J377" s="245"/>
      <c r="K377" s="245"/>
      <c r="L377" s="245"/>
      <c r="AR377" s="423"/>
      <c r="AS377" s="423"/>
      <c r="AT377" s="245"/>
    </row>
    <row r="378" spans="1:46" ht="13.5">
      <c r="A378" s="245"/>
      <c r="B378" s="245"/>
      <c r="C378" s="245"/>
      <c r="D378" s="245"/>
      <c r="E378" s="245"/>
      <c r="F378" s="245"/>
      <c r="G378" s="245"/>
      <c r="H378" s="245"/>
      <c r="I378" s="245"/>
      <c r="J378" s="245"/>
      <c r="K378" s="245"/>
      <c r="L378" s="245"/>
      <c r="AR378" s="423"/>
      <c r="AS378" s="423"/>
      <c r="AT378" s="245"/>
    </row>
    <row r="379" spans="1:46" ht="13.5">
      <c r="A379" s="245"/>
      <c r="B379" s="245"/>
      <c r="C379" s="245"/>
      <c r="D379" s="245"/>
      <c r="E379" s="245"/>
      <c r="F379" s="245"/>
      <c r="G379" s="245"/>
      <c r="H379" s="245"/>
      <c r="I379" s="245"/>
      <c r="J379" s="245"/>
      <c r="K379" s="245"/>
      <c r="L379" s="245"/>
      <c r="AR379" s="423"/>
      <c r="AS379" s="423"/>
      <c r="AT379" s="245"/>
    </row>
    <row r="380" spans="1:46" ht="13.5">
      <c r="A380" s="245"/>
      <c r="B380" s="245"/>
      <c r="C380" s="245"/>
      <c r="D380" s="245"/>
      <c r="E380" s="245"/>
      <c r="F380" s="245"/>
      <c r="G380" s="245"/>
      <c r="H380" s="245"/>
      <c r="I380" s="245"/>
      <c r="J380" s="245"/>
      <c r="K380" s="245"/>
      <c r="L380" s="245"/>
      <c r="AR380" s="423"/>
      <c r="AS380" s="423"/>
      <c r="AT380" s="245"/>
    </row>
    <row r="381" spans="1:46" ht="13.5">
      <c r="A381" s="245"/>
      <c r="B381" s="245"/>
      <c r="C381" s="245"/>
      <c r="D381" s="245"/>
      <c r="E381" s="245"/>
      <c r="F381" s="245"/>
      <c r="G381" s="245"/>
      <c r="H381" s="245"/>
      <c r="I381" s="245"/>
      <c r="J381" s="245"/>
      <c r="K381" s="245"/>
      <c r="L381" s="245"/>
      <c r="AR381" s="423"/>
      <c r="AS381" s="423"/>
      <c r="AT381" s="245"/>
    </row>
    <row r="382" spans="1:46" ht="13.5">
      <c r="A382" s="245"/>
      <c r="B382" s="245"/>
      <c r="C382" s="245"/>
      <c r="D382" s="245"/>
      <c r="E382" s="245"/>
      <c r="F382" s="245"/>
      <c r="G382" s="245"/>
      <c r="H382" s="245"/>
      <c r="I382" s="245"/>
      <c r="J382" s="245"/>
      <c r="K382" s="245"/>
      <c r="L382" s="245"/>
      <c r="AR382" s="423"/>
      <c r="AS382" s="423"/>
      <c r="AT382" s="245"/>
    </row>
    <row r="383" spans="1:46" ht="13.5">
      <c r="A383" s="245"/>
      <c r="B383" s="245"/>
      <c r="C383" s="245"/>
      <c r="D383" s="245"/>
      <c r="E383" s="245"/>
      <c r="F383" s="245"/>
      <c r="G383" s="245"/>
      <c r="H383" s="245"/>
      <c r="I383" s="245"/>
      <c r="J383" s="245"/>
      <c r="K383" s="245"/>
      <c r="L383" s="245"/>
      <c r="AR383" s="423"/>
      <c r="AS383" s="423"/>
      <c r="AT383" s="245"/>
    </row>
    <row r="384" spans="1:46" ht="13.5">
      <c r="A384" s="245"/>
      <c r="B384" s="245"/>
      <c r="C384" s="245"/>
      <c r="D384" s="245"/>
      <c r="E384" s="245"/>
      <c r="F384" s="245"/>
      <c r="G384" s="245"/>
      <c r="H384" s="245"/>
      <c r="I384" s="245"/>
      <c r="J384" s="245"/>
      <c r="K384" s="245"/>
      <c r="L384" s="245"/>
      <c r="AR384" s="423"/>
      <c r="AS384" s="423"/>
      <c r="AT384" s="245"/>
    </row>
    <row r="385" spans="1:46" ht="13.5">
      <c r="A385" s="245"/>
      <c r="B385" s="245"/>
      <c r="C385" s="245"/>
      <c r="D385" s="245"/>
      <c r="E385" s="245"/>
      <c r="F385" s="245"/>
      <c r="G385" s="245"/>
      <c r="H385" s="245"/>
      <c r="I385" s="245"/>
      <c r="J385" s="245"/>
      <c r="K385" s="245"/>
      <c r="L385" s="245"/>
      <c r="AR385" s="423"/>
      <c r="AS385" s="423"/>
      <c r="AT385" s="245"/>
    </row>
    <row r="386" spans="1:46" ht="13.5">
      <c r="A386" s="245"/>
      <c r="B386" s="245"/>
      <c r="C386" s="245"/>
      <c r="D386" s="245"/>
      <c r="E386" s="245"/>
      <c r="F386" s="245"/>
      <c r="G386" s="245"/>
      <c r="H386" s="245"/>
      <c r="I386" s="245"/>
      <c r="J386" s="245"/>
      <c r="K386" s="245"/>
      <c r="L386" s="245"/>
      <c r="AR386" s="423"/>
      <c r="AS386" s="423"/>
      <c r="AT386" s="245"/>
    </row>
    <row r="387" spans="1:46" ht="13.5">
      <c r="A387" s="245"/>
      <c r="B387" s="245"/>
      <c r="C387" s="245"/>
      <c r="D387" s="245"/>
      <c r="E387" s="245"/>
      <c r="F387" s="245"/>
      <c r="G387" s="245"/>
      <c r="H387" s="245"/>
      <c r="I387" s="245"/>
      <c r="J387" s="245"/>
      <c r="K387" s="245"/>
      <c r="L387" s="245"/>
      <c r="AR387" s="423"/>
      <c r="AS387" s="423"/>
      <c r="AT387" s="245"/>
    </row>
    <row r="388" spans="1:46" ht="13.5">
      <c r="A388" s="245"/>
      <c r="B388" s="245"/>
      <c r="C388" s="245"/>
      <c r="D388" s="245"/>
      <c r="E388" s="245"/>
      <c r="F388" s="245"/>
      <c r="G388" s="245"/>
      <c r="H388" s="245"/>
      <c r="I388" s="245"/>
      <c r="J388" s="245"/>
      <c r="K388" s="245"/>
      <c r="L388" s="245"/>
      <c r="AR388" s="423"/>
      <c r="AS388" s="423"/>
      <c r="AT388" s="245"/>
    </row>
    <row r="389" spans="1:46" ht="13.5">
      <c r="A389" s="245"/>
      <c r="B389" s="245"/>
      <c r="C389" s="245"/>
      <c r="D389" s="245"/>
      <c r="E389" s="245"/>
      <c r="F389" s="245"/>
      <c r="G389" s="245"/>
      <c r="H389" s="245"/>
      <c r="I389" s="245"/>
      <c r="J389" s="245"/>
      <c r="K389" s="245"/>
      <c r="L389" s="245"/>
      <c r="AR389" s="423"/>
      <c r="AS389" s="423"/>
      <c r="AT389" s="245"/>
    </row>
    <row r="390" spans="1:46" ht="13.5">
      <c r="A390" s="245"/>
      <c r="B390" s="245"/>
      <c r="C390" s="245"/>
      <c r="D390" s="245"/>
      <c r="E390" s="245"/>
      <c r="F390" s="245"/>
      <c r="G390" s="245"/>
      <c r="H390" s="245"/>
      <c r="I390" s="245"/>
      <c r="J390" s="245"/>
      <c r="K390" s="245"/>
      <c r="L390" s="245"/>
      <c r="AR390" s="423"/>
      <c r="AS390" s="423"/>
      <c r="AT390" s="245"/>
    </row>
    <row r="391" spans="1:46" ht="13.5">
      <c r="A391" s="245"/>
      <c r="B391" s="245"/>
      <c r="C391" s="245"/>
      <c r="D391" s="245"/>
      <c r="E391" s="245"/>
      <c r="F391" s="245"/>
      <c r="G391" s="245"/>
      <c r="H391" s="245"/>
      <c r="I391" s="245"/>
      <c r="J391" s="245"/>
      <c r="K391" s="245"/>
      <c r="L391" s="245"/>
      <c r="AR391" s="423"/>
      <c r="AS391" s="423"/>
      <c r="AT391" s="245"/>
    </row>
    <row r="392" spans="1:46" ht="13.5">
      <c r="A392" s="245"/>
      <c r="B392" s="245"/>
      <c r="C392" s="245"/>
      <c r="D392" s="245"/>
      <c r="E392" s="245"/>
      <c r="F392" s="245"/>
      <c r="G392" s="245"/>
      <c r="H392" s="245"/>
      <c r="I392" s="245"/>
      <c r="J392" s="245"/>
      <c r="K392" s="245"/>
      <c r="L392" s="245"/>
      <c r="AR392" s="423"/>
      <c r="AS392" s="423"/>
      <c r="AT392" s="245"/>
    </row>
    <row r="393" spans="1:46" ht="13.5">
      <c r="A393" s="245"/>
      <c r="B393" s="245"/>
      <c r="C393" s="245"/>
      <c r="D393" s="245"/>
      <c r="E393" s="245"/>
      <c r="F393" s="245"/>
      <c r="G393" s="245"/>
      <c r="H393" s="245"/>
      <c r="I393" s="245"/>
      <c r="J393" s="245"/>
      <c r="K393" s="245"/>
      <c r="L393" s="245"/>
      <c r="AR393" s="423"/>
      <c r="AS393" s="423"/>
      <c r="AT393" s="245"/>
    </row>
    <row r="394" spans="1:46" ht="13.5">
      <c r="A394" s="245"/>
      <c r="B394" s="245"/>
      <c r="C394" s="245"/>
      <c r="D394" s="245"/>
      <c r="E394" s="245"/>
      <c r="F394" s="245"/>
      <c r="G394" s="245"/>
      <c r="H394" s="245"/>
      <c r="I394" s="245"/>
      <c r="J394" s="245"/>
      <c r="K394" s="245"/>
      <c r="L394" s="245"/>
      <c r="AR394" s="423"/>
      <c r="AS394" s="423"/>
      <c r="AT394" s="245"/>
    </row>
    <row r="395" spans="1:46" ht="13.5">
      <c r="A395" s="245"/>
      <c r="B395" s="245"/>
      <c r="C395" s="245"/>
      <c r="D395" s="245"/>
      <c r="E395" s="245"/>
      <c r="F395" s="245"/>
      <c r="G395" s="245"/>
      <c r="H395" s="245"/>
      <c r="I395" s="245"/>
      <c r="J395" s="245"/>
      <c r="K395" s="245"/>
      <c r="L395" s="245"/>
      <c r="AR395" s="423"/>
      <c r="AS395" s="423"/>
      <c r="AT395" s="245"/>
    </row>
    <row r="396" spans="1:46" ht="13.5">
      <c r="A396" s="245"/>
      <c r="B396" s="245"/>
      <c r="C396" s="245"/>
      <c r="D396" s="245"/>
      <c r="E396" s="245"/>
      <c r="F396" s="245"/>
      <c r="G396" s="245"/>
      <c r="H396" s="245"/>
      <c r="I396" s="245"/>
      <c r="J396" s="245"/>
      <c r="K396" s="245"/>
      <c r="L396" s="245"/>
      <c r="AR396" s="423"/>
      <c r="AS396" s="423"/>
      <c r="AT396" s="245"/>
    </row>
    <row r="397" spans="1:46" ht="13.5">
      <c r="A397" s="245"/>
      <c r="B397" s="245"/>
      <c r="C397" s="245"/>
      <c r="D397" s="245"/>
      <c r="E397" s="245"/>
      <c r="F397" s="245"/>
      <c r="G397" s="245"/>
      <c r="H397" s="245"/>
      <c r="I397" s="245"/>
      <c r="J397" s="245"/>
      <c r="K397" s="245"/>
      <c r="L397" s="245"/>
      <c r="AR397" s="423"/>
      <c r="AS397" s="423"/>
      <c r="AT397" s="245"/>
    </row>
    <row r="398" spans="1:46" ht="13.5">
      <c r="A398" s="245"/>
      <c r="B398" s="245"/>
      <c r="C398" s="245"/>
      <c r="D398" s="245"/>
      <c r="E398" s="245"/>
      <c r="F398" s="245"/>
      <c r="G398" s="245"/>
      <c r="H398" s="245"/>
      <c r="I398" s="245"/>
      <c r="J398" s="245"/>
      <c r="K398" s="245"/>
      <c r="L398" s="245"/>
      <c r="AR398" s="423"/>
      <c r="AS398" s="423"/>
      <c r="AT398" s="245"/>
    </row>
    <row r="399" spans="1:46" ht="13.5">
      <c r="A399" s="245"/>
      <c r="B399" s="245"/>
      <c r="C399" s="245"/>
      <c r="D399" s="245"/>
      <c r="E399" s="245"/>
      <c r="F399" s="245"/>
      <c r="G399" s="245"/>
      <c r="H399" s="245"/>
      <c r="I399" s="245"/>
      <c r="J399" s="245"/>
      <c r="K399" s="245"/>
      <c r="L399" s="245"/>
      <c r="AR399" s="423"/>
      <c r="AS399" s="423"/>
      <c r="AT399" s="245"/>
    </row>
    <row r="400" spans="1:46" ht="13.5">
      <c r="A400" s="245"/>
      <c r="B400" s="245"/>
      <c r="C400" s="245"/>
      <c r="D400" s="245"/>
      <c r="E400" s="245"/>
      <c r="F400" s="245"/>
      <c r="G400" s="245"/>
      <c r="H400" s="245"/>
      <c r="I400" s="245"/>
      <c r="J400" s="245"/>
      <c r="K400" s="245"/>
      <c r="L400" s="245"/>
      <c r="AR400" s="423"/>
      <c r="AS400" s="423"/>
      <c r="AT400" s="245"/>
    </row>
    <row r="401" spans="1:46" ht="13.5">
      <c r="A401" s="245"/>
      <c r="B401" s="245"/>
      <c r="C401" s="245"/>
      <c r="D401" s="245"/>
      <c r="E401" s="245"/>
      <c r="F401" s="245"/>
      <c r="G401" s="245"/>
      <c r="H401" s="245"/>
      <c r="I401" s="245"/>
      <c r="J401" s="245"/>
      <c r="K401" s="245"/>
      <c r="L401" s="245"/>
      <c r="AR401" s="423"/>
      <c r="AS401" s="423"/>
      <c r="AT401" s="245"/>
    </row>
    <row r="402" spans="1:46" ht="13.5">
      <c r="A402" s="245"/>
      <c r="B402" s="245"/>
      <c r="C402" s="245"/>
      <c r="D402" s="245"/>
      <c r="E402" s="245"/>
      <c r="F402" s="245"/>
      <c r="G402" s="245"/>
      <c r="H402" s="245"/>
      <c r="I402" s="245"/>
      <c r="J402" s="245"/>
      <c r="K402" s="245"/>
      <c r="L402" s="245"/>
      <c r="AR402" s="423"/>
      <c r="AS402" s="423"/>
      <c r="AT402" s="245"/>
    </row>
    <row r="403" spans="1:46" ht="13.5">
      <c r="A403" s="245"/>
      <c r="B403" s="245"/>
      <c r="C403" s="245"/>
      <c r="D403" s="245"/>
      <c r="E403" s="245"/>
      <c r="F403" s="245"/>
      <c r="G403" s="245"/>
      <c r="H403" s="245"/>
      <c r="I403" s="245"/>
      <c r="J403" s="245"/>
      <c r="K403" s="245"/>
      <c r="L403" s="245"/>
      <c r="AR403" s="423"/>
      <c r="AS403" s="423"/>
      <c r="AT403" s="245"/>
    </row>
    <row r="404" spans="1:46" ht="13.5">
      <c r="A404" s="245"/>
      <c r="B404" s="245"/>
      <c r="C404" s="245"/>
      <c r="D404" s="245"/>
      <c r="E404" s="245"/>
      <c r="F404" s="245"/>
      <c r="G404" s="245"/>
      <c r="H404" s="245"/>
      <c r="I404" s="245"/>
      <c r="J404" s="245"/>
      <c r="K404" s="245"/>
      <c r="L404" s="245"/>
      <c r="AR404" s="423"/>
      <c r="AS404" s="423"/>
      <c r="AT404" s="245"/>
    </row>
    <row r="405" spans="1:46" ht="13.5">
      <c r="A405" s="245"/>
      <c r="B405" s="245"/>
      <c r="C405" s="245"/>
      <c r="D405" s="245"/>
      <c r="E405" s="245"/>
      <c r="F405" s="245"/>
      <c r="G405" s="245"/>
      <c r="H405" s="245"/>
      <c r="I405" s="245"/>
      <c r="J405" s="245"/>
      <c r="K405" s="245"/>
      <c r="L405" s="245"/>
      <c r="AR405" s="423"/>
      <c r="AS405" s="423"/>
      <c r="AT405" s="245"/>
    </row>
    <row r="406" spans="1:46" ht="13.5">
      <c r="A406" s="245"/>
      <c r="B406" s="245"/>
      <c r="C406" s="245"/>
      <c r="D406" s="245"/>
      <c r="E406" s="245"/>
      <c r="F406" s="245"/>
      <c r="G406" s="245"/>
      <c r="H406" s="245"/>
      <c r="I406" s="245"/>
      <c r="J406" s="245"/>
      <c r="K406" s="245"/>
      <c r="L406" s="245"/>
      <c r="AR406" s="423"/>
      <c r="AS406" s="423"/>
      <c r="AT406" s="245"/>
    </row>
    <row r="407" spans="1:46" ht="13.5">
      <c r="A407" s="245"/>
      <c r="B407" s="245"/>
      <c r="C407" s="245"/>
      <c r="D407" s="245"/>
      <c r="E407" s="245"/>
      <c r="F407" s="245"/>
      <c r="G407" s="245"/>
      <c r="H407" s="245"/>
      <c r="I407" s="245"/>
      <c r="J407" s="245"/>
      <c r="K407" s="245"/>
      <c r="L407" s="245"/>
      <c r="AR407" s="423"/>
      <c r="AS407" s="423"/>
      <c r="AT407" s="245"/>
    </row>
    <row r="408" spans="1:46" ht="13.5">
      <c r="A408" s="245"/>
      <c r="B408" s="245"/>
      <c r="C408" s="245"/>
      <c r="D408" s="245"/>
      <c r="E408" s="245"/>
      <c r="F408" s="245"/>
      <c r="G408" s="245"/>
      <c r="H408" s="245"/>
      <c r="I408" s="245"/>
      <c r="J408" s="245"/>
      <c r="K408" s="245"/>
      <c r="L408" s="245"/>
      <c r="AR408" s="423"/>
      <c r="AS408" s="423"/>
      <c r="AT408" s="245"/>
    </row>
    <row r="409" spans="1:46" ht="13.5">
      <c r="A409" s="245"/>
      <c r="B409" s="245"/>
      <c r="C409" s="245"/>
      <c r="D409" s="245"/>
      <c r="E409" s="245"/>
      <c r="F409" s="245"/>
      <c r="G409" s="245"/>
      <c r="H409" s="245"/>
      <c r="I409" s="245"/>
      <c r="J409" s="245"/>
      <c r="K409" s="245"/>
      <c r="L409" s="245"/>
      <c r="AR409" s="423"/>
      <c r="AS409" s="423"/>
      <c r="AT409" s="245"/>
    </row>
    <row r="410" spans="1:46" ht="13.5">
      <c r="A410" s="245"/>
      <c r="B410" s="245"/>
      <c r="C410" s="245"/>
      <c r="D410" s="245"/>
      <c r="E410" s="245"/>
      <c r="F410" s="245"/>
      <c r="G410" s="245"/>
      <c r="H410" s="245"/>
      <c r="I410" s="245"/>
      <c r="J410" s="245"/>
      <c r="K410" s="245"/>
      <c r="L410" s="245"/>
      <c r="AR410" s="423"/>
      <c r="AS410" s="423"/>
      <c r="AT410" s="245"/>
    </row>
    <row r="411" spans="1:46" ht="13.5">
      <c r="A411" s="245"/>
      <c r="B411" s="245"/>
      <c r="C411" s="245"/>
      <c r="D411" s="245"/>
      <c r="E411" s="245"/>
      <c r="F411" s="245"/>
      <c r="G411" s="245"/>
      <c r="H411" s="245"/>
      <c r="I411" s="245"/>
      <c r="J411" s="245"/>
      <c r="K411" s="245"/>
      <c r="L411" s="245"/>
      <c r="AR411" s="423"/>
      <c r="AS411" s="423"/>
      <c r="AT411" s="245"/>
    </row>
    <row r="412" spans="1:46" ht="13.5">
      <c r="A412" s="245"/>
      <c r="B412" s="245"/>
      <c r="C412" s="245"/>
      <c r="D412" s="245"/>
      <c r="E412" s="245"/>
      <c r="F412" s="245"/>
      <c r="G412" s="245"/>
      <c r="H412" s="245"/>
      <c r="I412" s="245"/>
      <c r="J412" s="245"/>
      <c r="K412" s="245"/>
      <c r="L412" s="245"/>
      <c r="AR412" s="423"/>
      <c r="AS412" s="423"/>
      <c r="AT412" s="245"/>
    </row>
    <row r="413" spans="1:46" ht="13.5">
      <c r="A413" s="245"/>
      <c r="B413" s="245"/>
      <c r="C413" s="245"/>
      <c r="D413" s="245"/>
      <c r="E413" s="245"/>
      <c r="F413" s="245"/>
      <c r="G413" s="245"/>
      <c r="H413" s="245"/>
      <c r="I413" s="245"/>
      <c r="J413" s="245"/>
      <c r="K413" s="245"/>
      <c r="L413" s="245"/>
      <c r="AR413" s="423"/>
      <c r="AS413" s="423"/>
      <c r="AT413" s="245"/>
    </row>
    <row r="414" spans="1:46" ht="13.5">
      <c r="A414" s="245"/>
      <c r="B414" s="245"/>
      <c r="C414" s="245"/>
      <c r="D414" s="245"/>
      <c r="E414" s="245"/>
      <c r="F414" s="245"/>
      <c r="G414" s="245"/>
      <c r="H414" s="245"/>
      <c r="I414" s="245"/>
      <c r="J414" s="245"/>
      <c r="K414" s="245"/>
      <c r="L414" s="245"/>
      <c r="AR414" s="423"/>
      <c r="AS414" s="423"/>
      <c r="AT414" s="245"/>
    </row>
    <row r="415" spans="1:46" ht="13.5">
      <c r="A415" s="245"/>
      <c r="B415" s="245"/>
      <c r="C415" s="245"/>
      <c r="D415" s="245"/>
      <c r="E415" s="245"/>
      <c r="F415" s="245"/>
      <c r="G415" s="245"/>
      <c r="H415" s="245"/>
      <c r="I415" s="245"/>
      <c r="J415" s="245"/>
      <c r="K415" s="245"/>
      <c r="L415" s="245"/>
      <c r="AR415" s="423"/>
      <c r="AS415" s="423"/>
      <c r="AT415" s="245"/>
    </row>
    <row r="416" spans="1:46" ht="13.5">
      <c r="A416" s="245"/>
      <c r="B416" s="245"/>
      <c r="C416" s="245"/>
      <c r="D416" s="245"/>
      <c r="E416" s="245"/>
      <c r="F416" s="245"/>
      <c r="G416" s="245"/>
      <c r="H416" s="245"/>
      <c r="I416" s="245"/>
      <c r="J416" s="245"/>
      <c r="K416" s="245"/>
      <c r="L416" s="245"/>
      <c r="AR416" s="423"/>
      <c r="AS416" s="423"/>
      <c r="AT416" s="245"/>
    </row>
    <row r="417" spans="1:46" ht="13.5">
      <c r="A417" s="245"/>
      <c r="B417" s="245"/>
      <c r="C417" s="245"/>
      <c r="D417" s="245"/>
      <c r="E417" s="245"/>
      <c r="F417" s="245"/>
      <c r="G417" s="245"/>
      <c r="H417" s="245"/>
      <c r="I417" s="245"/>
      <c r="J417" s="245"/>
      <c r="K417" s="245"/>
      <c r="L417" s="245"/>
      <c r="AR417" s="423"/>
      <c r="AS417" s="423"/>
      <c r="AT417" s="245"/>
    </row>
    <row r="418" spans="1:46" ht="13.5">
      <c r="A418" s="245"/>
      <c r="B418" s="245"/>
      <c r="C418" s="245"/>
      <c r="D418" s="245"/>
      <c r="E418" s="245"/>
      <c r="F418" s="245"/>
      <c r="G418" s="245"/>
      <c r="H418" s="245"/>
      <c r="I418" s="245"/>
      <c r="J418" s="245"/>
      <c r="K418" s="245"/>
      <c r="L418" s="245"/>
      <c r="AR418" s="423"/>
      <c r="AS418" s="423"/>
      <c r="AT418" s="245"/>
    </row>
    <row r="419" spans="1:46" ht="13.5">
      <c r="A419" s="245"/>
      <c r="B419" s="245"/>
      <c r="C419" s="245"/>
      <c r="D419" s="245"/>
      <c r="E419" s="245"/>
      <c r="F419" s="245"/>
      <c r="G419" s="245"/>
      <c r="H419" s="245"/>
      <c r="I419" s="245"/>
      <c r="J419" s="245"/>
      <c r="K419" s="245"/>
      <c r="L419" s="245"/>
      <c r="AR419" s="423"/>
      <c r="AS419" s="423"/>
      <c r="AT419" s="245"/>
    </row>
    <row r="420" spans="1:46" ht="13.5">
      <c r="A420" s="245"/>
      <c r="B420" s="245"/>
      <c r="C420" s="245"/>
      <c r="D420" s="245"/>
      <c r="E420" s="245"/>
      <c r="F420" s="245"/>
      <c r="G420" s="245"/>
      <c r="H420" s="245"/>
      <c r="I420" s="245"/>
      <c r="J420" s="245"/>
      <c r="K420" s="245"/>
      <c r="L420" s="245"/>
      <c r="AR420" s="423"/>
      <c r="AS420" s="423"/>
      <c r="AT420" s="245"/>
    </row>
    <row r="421" spans="1:46" ht="13.5">
      <c r="A421" s="245"/>
      <c r="B421" s="245"/>
      <c r="C421" s="245"/>
      <c r="D421" s="245"/>
      <c r="E421" s="245"/>
      <c r="F421" s="245"/>
      <c r="G421" s="245"/>
      <c r="H421" s="245"/>
      <c r="I421" s="245"/>
      <c r="J421" s="245"/>
      <c r="K421" s="245"/>
      <c r="L421" s="245"/>
      <c r="AR421" s="423"/>
      <c r="AS421" s="423"/>
      <c r="AT421" s="245"/>
    </row>
    <row r="422" spans="1:46" ht="13.5">
      <c r="A422" s="245"/>
      <c r="B422" s="245"/>
      <c r="C422" s="245"/>
      <c r="D422" s="245"/>
      <c r="E422" s="245"/>
      <c r="F422" s="245"/>
      <c r="G422" s="245"/>
      <c r="H422" s="245"/>
      <c r="I422" s="245"/>
      <c r="J422" s="245"/>
      <c r="K422" s="245"/>
      <c r="L422" s="245"/>
      <c r="AR422" s="423"/>
      <c r="AS422" s="423"/>
      <c r="AT422" s="245"/>
    </row>
    <row r="423" spans="1:46" ht="13.5">
      <c r="A423" s="245"/>
      <c r="B423" s="245"/>
      <c r="C423" s="245"/>
      <c r="D423" s="245"/>
      <c r="E423" s="245"/>
      <c r="F423" s="245"/>
      <c r="G423" s="245"/>
      <c r="H423" s="245"/>
      <c r="I423" s="245"/>
      <c r="J423" s="245"/>
      <c r="K423" s="245"/>
      <c r="L423" s="245"/>
      <c r="AR423" s="423"/>
      <c r="AS423" s="423"/>
      <c r="AT423" s="245"/>
    </row>
    <row r="424" spans="1:46" ht="13.5">
      <c r="A424" s="245"/>
      <c r="B424" s="245"/>
      <c r="C424" s="245"/>
      <c r="D424" s="245"/>
      <c r="E424" s="245"/>
      <c r="F424" s="245"/>
      <c r="G424" s="245"/>
      <c r="H424" s="245"/>
      <c r="I424" s="245"/>
      <c r="J424" s="245"/>
      <c r="K424" s="245"/>
      <c r="L424" s="245"/>
      <c r="AR424" s="423"/>
      <c r="AS424" s="423"/>
      <c r="AT424" s="245"/>
    </row>
    <row r="425" spans="1:46" ht="13.5">
      <c r="A425" s="245"/>
      <c r="B425" s="245"/>
      <c r="C425" s="245"/>
      <c r="D425" s="245"/>
      <c r="E425" s="245"/>
      <c r="F425" s="245"/>
      <c r="G425" s="245"/>
      <c r="H425" s="245"/>
      <c r="I425" s="245"/>
      <c r="J425" s="245"/>
      <c r="K425" s="245"/>
      <c r="L425" s="245"/>
      <c r="AR425" s="423"/>
      <c r="AS425" s="423"/>
      <c r="AT425" s="245"/>
    </row>
    <row r="426" spans="1:46" ht="13.5">
      <c r="A426" s="245"/>
      <c r="B426" s="245"/>
      <c r="C426" s="245"/>
      <c r="D426" s="245"/>
      <c r="E426" s="245"/>
      <c r="F426" s="245"/>
      <c r="G426" s="245"/>
      <c r="H426" s="245"/>
      <c r="I426" s="245"/>
      <c r="J426" s="245"/>
      <c r="K426" s="245"/>
      <c r="L426" s="245"/>
      <c r="AR426" s="423"/>
      <c r="AS426" s="423"/>
      <c r="AT426" s="245"/>
    </row>
    <row r="427" spans="1:46" ht="13.5">
      <c r="A427" s="245"/>
      <c r="B427" s="245"/>
      <c r="C427" s="245"/>
      <c r="D427" s="245"/>
      <c r="E427" s="245"/>
      <c r="F427" s="245"/>
      <c r="G427" s="245"/>
      <c r="H427" s="245"/>
      <c r="I427" s="245"/>
      <c r="J427" s="245"/>
      <c r="K427" s="245"/>
      <c r="L427" s="245"/>
      <c r="AR427" s="423"/>
      <c r="AS427" s="423"/>
      <c r="AT427" s="245"/>
    </row>
    <row r="428" spans="1:46" ht="13.5">
      <c r="A428" s="245"/>
      <c r="B428" s="245"/>
      <c r="C428" s="245"/>
      <c r="D428" s="245"/>
      <c r="E428" s="245"/>
      <c r="F428" s="245"/>
      <c r="G428" s="245"/>
      <c r="H428" s="245"/>
      <c r="I428" s="245"/>
      <c r="J428" s="245"/>
      <c r="K428" s="245"/>
      <c r="L428" s="245"/>
      <c r="AR428" s="423"/>
      <c r="AS428" s="423"/>
      <c r="AT428" s="245"/>
    </row>
    <row r="429" spans="1:46" ht="13.5">
      <c r="A429" s="245"/>
      <c r="B429" s="245"/>
      <c r="C429" s="245"/>
      <c r="D429" s="245"/>
      <c r="E429" s="245"/>
      <c r="F429" s="245"/>
      <c r="G429" s="245"/>
      <c r="H429" s="245"/>
      <c r="I429" s="245"/>
      <c r="J429" s="245"/>
      <c r="K429" s="245"/>
      <c r="L429" s="245"/>
      <c r="AR429" s="423"/>
      <c r="AS429" s="423"/>
      <c r="AT429" s="245"/>
    </row>
    <row r="430" spans="1:46" ht="13.5">
      <c r="A430" s="245"/>
      <c r="B430" s="245"/>
      <c r="C430" s="245"/>
      <c r="D430" s="245"/>
      <c r="E430" s="245"/>
      <c r="F430" s="245"/>
      <c r="G430" s="245"/>
      <c r="H430" s="245"/>
      <c r="I430" s="245"/>
      <c r="J430" s="245"/>
      <c r="K430" s="245"/>
      <c r="L430" s="245"/>
      <c r="AR430" s="423"/>
      <c r="AS430" s="423"/>
      <c r="AT430" s="245"/>
    </row>
    <row r="431" spans="1:46" ht="13.5">
      <c r="A431" s="245"/>
      <c r="B431" s="245"/>
      <c r="C431" s="245"/>
      <c r="D431" s="245"/>
      <c r="E431" s="245"/>
      <c r="F431" s="245"/>
      <c r="G431" s="245"/>
      <c r="H431" s="245"/>
      <c r="I431" s="245"/>
      <c r="J431" s="245"/>
      <c r="K431" s="245"/>
      <c r="L431" s="245"/>
      <c r="AR431" s="423"/>
      <c r="AS431" s="423"/>
      <c r="AT431" s="245"/>
    </row>
    <row r="432" spans="1:46" ht="13.5">
      <c r="A432" s="245"/>
      <c r="B432" s="245"/>
      <c r="C432" s="245"/>
      <c r="D432" s="245"/>
      <c r="E432" s="245"/>
      <c r="F432" s="245"/>
      <c r="G432" s="245"/>
      <c r="H432" s="245"/>
      <c r="I432" s="245"/>
      <c r="J432" s="245"/>
      <c r="K432" s="245"/>
      <c r="L432" s="245"/>
      <c r="AR432" s="423"/>
      <c r="AS432" s="423"/>
      <c r="AT432" s="245"/>
    </row>
    <row r="433" spans="1:46" ht="13.5">
      <c r="A433" s="245"/>
      <c r="B433" s="245"/>
      <c r="C433" s="245"/>
      <c r="D433" s="245"/>
      <c r="E433" s="245"/>
      <c r="F433" s="245"/>
      <c r="G433" s="245"/>
      <c r="H433" s="245"/>
      <c r="I433" s="245"/>
      <c r="J433" s="245"/>
      <c r="K433" s="245"/>
      <c r="L433" s="245"/>
      <c r="AR433" s="423"/>
      <c r="AS433" s="423"/>
      <c r="AT433" s="245"/>
    </row>
    <row r="434" spans="1:46" ht="13.5">
      <c r="A434" s="245"/>
      <c r="B434" s="245"/>
      <c r="C434" s="245"/>
      <c r="D434" s="245"/>
      <c r="E434" s="245"/>
      <c r="F434" s="245"/>
      <c r="G434" s="245"/>
      <c r="H434" s="245"/>
      <c r="I434" s="245"/>
      <c r="J434" s="245"/>
      <c r="K434" s="245"/>
      <c r="L434" s="245"/>
      <c r="AR434" s="423"/>
      <c r="AS434" s="423"/>
      <c r="AT434" s="245"/>
    </row>
    <row r="435" spans="1:46" ht="13.5">
      <c r="A435" s="245"/>
      <c r="B435" s="245"/>
      <c r="C435" s="245"/>
      <c r="D435" s="245"/>
      <c r="E435" s="245"/>
      <c r="F435" s="245"/>
      <c r="G435" s="245"/>
      <c r="H435" s="245"/>
      <c r="I435" s="245"/>
      <c r="J435" s="245"/>
      <c r="K435" s="245"/>
      <c r="L435" s="245"/>
      <c r="AR435" s="423"/>
      <c r="AS435" s="423"/>
      <c r="AT435" s="245"/>
    </row>
    <row r="436" spans="1:46" ht="13.5">
      <c r="A436" s="245"/>
      <c r="B436" s="245"/>
      <c r="C436" s="245"/>
      <c r="D436" s="245"/>
      <c r="E436" s="245"/>
      <c r="F436" s="245"/>
      <c r="G436" s="245"/>
      <c r="H436" s="245"/>
      <c r="I436" s="245"/>
      <c r="J436" s="245"/>
      <c r="K436" s="245"/>
      <c r="L436" s="245"/>
      <c r="AR436" s="423"/>
      <c r="AS436" s="423"/>
      <c r="AT436" s="245"/>
    </row>
    <row r="437" spans="1:46" ht="13.5">
      <c r="A437" s="245"/>
      <c r="B437" s="245"/>
      <c r="C437" s="245"/>
      <c r="D437" s="245"/>
      <c r="E437" s="245"/>
      <c r="F437" s="245"/>
      <c r="G437" s="245"/>
      <c r="H437" s="245"/>
      <c r="I437" s="245"/>
      <c r="J437" s="245"/>
      <c r="K437" s="245"/>
      <c r="L437" s="245"/>
      <c r="AR437" s="423"/>
      <c r="AS437" s="423"/>
      <c r="AT437" s="245"/>
    </row>
    <row r="438" spans="1:46" ht="13.5">
      <c r="A438" s="245"/>
      <c r="B438" s="245"/>
      <c r="C438" s="245"/>
      <c r="D438" s="245"/>
      <c r="E438" s="245"/>
      <c r="F438" s="245"/>
      <c r="G438" s="245"/>
      <c r="H438" s="245"/>
      <c r="I438" s="245"/>
      <c r="J438" s="245"/>
      <c r="K438" s="245"/>
      <c r="L438" s="245"/>
      <c r="AR438" s="423"/>
      <c r="AS438" s="423"/>
      <c r="AT438" s="245"/>
    </row>
    <row r="439" spans="1:46" ht="13.5">
      <c r="A439" s="245"/>
      <c r="B439" s="245"/>
      <c r="C439" s="245"/>
      <c r="D439" s="245"/>
      <c r="E439" s="245"/>
      <c r="F439" s="245"/>
      <c r="G439" s="245"/>
      <c r="H439" s="245"/>
      <c r="I439" s="245"/>
      <c r="J439" s="245"/>
      <c r="K439" s="245"/>
      <c r="L439" s="245"/>
      <c r="AR439" s="423"/>
      <c r="AS439" s="423"/>
      <c r="AT439" s="245"/>
    </row>
    <row r="440" spans="1:46" ht="13.5">
      <c r="A440" s="245"/>
      <c r="B440" s="245"/>
      <c r="C440" s="245"/>
      <c r="D440" s="245"/>
      <c r="E440" s="245"/>
      <c r="F440" s="245"/>
      <c r="G440" s="245"/>
      <c r="H440" s="245"/>
      <c r="I440" s="245"/>
      <c r="J440" s="245"/>
      <c r="K440" s="245"/>
      <c r="L440" s="245"/>
      <c r="AR440" s="423"/>
      <c r="AS440" s="423"/>
      <c r="AT440" s="245"/>
    </row>
    <row r="441" spans="1:46" ht="13.5">
      <c r="A441" s="245"/>
      <c r="B441" s="245"/>
      <c r="C441" s="245"/>
      <c r="D441" s="245"/>
      <c r="E441" s="245"/>
      <c r="F441" s="245"/>
      <c r="G441" s="245"/>
      <c r="H441" s="245"/>
      <c r="I441" s="245"/>
      <c r="J441" s="245"/>
      <c r="K441" s="245"/>
      <c r="L441" s="245"/>
      <c r="AR441" s="423"/>
      <c r="AS441" s="423"/>
      <c r="AT441" s="245"/>
    </row>
    <row r="442" spans="1:46" ht="13.5">
      <c r="A442" s="245"/>
      <c r="B442" s="245"/>
      <c r="C442" s="245"/>
      <c r="D442" s="245"/>
      <c r="E442" s="245"/>
      <c r="F442" s="245"/>
      <c r="G442" s="245"/>
      <c r="H442" s="245"/>
      <c r="I442" s="245"/>
      <c r="J442" s="245"/>
      <c r="K442" s="245"/>
      <c r="L442" s="245"/>
      <c r="AR442" s="423"/>
      <c r="AS442" s="423"/>
      <c r="AT442" s="245"/>
    </row>
    <row r="443" spans="1:46" ht="13.5">
      <c r="A443" s="245"/>
      <c r="B443" s="245"/>
      <c r="C443" s="245"/>
      <c r="D443" s="245"/>
      <c r="E443" s="245"/>
      <c r="F443" s="245"/>
      <c r="G443" s="245"/>
      <c r="H443" s="245"/>
      <c r="I443" s="245"/>
      <c r="J443" s="245"/>
      <c r="K443" s="245"/>
      <c r="L443" s="245"/>
      <c r="AR443" s="423"/>
      <c r="AS443" s="423"/>
      <c r="AT443" s="245"/>
    </row>
    <row r="444" spans="1:46" ht="13.5">
      <c r="A444" s="245"/>
      <c r="B444" s="245"/>
      <c r="C444" s="245"/>
      <c r="D444" s="245"/>
      <c r="E444" s="245"/>
      <c r="F444" s="245"/>
      <c r="G444" s="245"/>
      <c r="H444" s="245"/>
      <c r="I444" s="245"/>
      <c r="J444" s="245"/>
      <c r="K444" s="245"/>
      <c r="L444" s="245"/>
      <c r="AR444" s="423"/>
      <c r="AS444" s="423"/>
      <c r="AT444" s="245"/>
    </row>
    <row r="445" spans="1:46" ht="13.5">
      <c r="A445" s="245"/>
      <c r="B445" s="245"/>
      <c r="C445" s="245"/>
      <c r="D445" s="245"/>
      <c r="E445" s="245"/>
      <c r="F445" s="245"/>
      <c r="G445" s="245"/>
      <c r="H445" s="245"/>
      <c r="I445" s="245"/>
      <c r="J445" s="245"/>
      <c r="K445" s="245"/>
      <c r="L445" s="245"/>
      <c r="AR445" s="423"/>
      <c r="AS445" s="423"/>
      <c r="AT445" s="245"/>
    </row>
    <row r="446" spans="1:46" ht="13.5">
      <c r="A446" s="245"/>
      <c r="B446" s="245"/>
      <c r="C446" s="245"/>
      <c r="D446" s="245"/>
      <c r="E446" s="245"/>
      <c r="F446" s="245"/>
      <c r="G446" s="245"/>
      <c r="H446" s="245"/>
      <c r="I446" s="245"/>
      <c r="J446" s="245"/>
      <c r="K446" s="245"/>
      <c r="L446" s="245"/>
      <c r="AR446" s="423"/>
      <c r="AS446" s="423"/>
      <c r="AT446" s="245"/>
    </row>
    <row r="447" spans="1:46" ht="13.5">
      <c r="A447" s="245"/>
      <c r="B447" s="245"/>
      <c r="C447" s="245"/>
      <c r="D447" s="245"/>
      <c r="E447" s="245"/>
      <c r="F447" s="245"/>
      <c r="G447" s="245"/>
      <c r="H447" s="245"/>
      <c r="I447" s="245"/>
      <c r="J447" s="245"/>
      <c r="K447" s="245"/>
      <c r="L447" s="245"/>
      <c r="AR447" s="423"/>
      <c r="AS447" s="423"/>
      <c r="AT447" s="245"/>
    </row>
    <row r="448" spans="1:46" ht="13.5">
      <c r="A448" s="245"/>
      <c r="B448" s="245"/>
      <c r="C448" s="245"/>
      <c r="D448" s="245"/>
      <c r="E448" s="245"/>
      <c r="F448" s="245"/>
      <c r="G448" s="245"/>
      <c r="H448" s="245"/>
      <c r="I448" s="245"/>
      <c r="J448" s="245"/>
      <c r="K448" s="245"/>
      <c r="L448" s="245"/>
      <c r="AR448" s="423"/>
      <c r="AS448" s="423"/>
      <c r="AT448" s="245"/>
    </row>
    <row r="449" spans="1:46" ht="13.5">
      <c r="A449" s="245"/>
      <c r="B449" s="245"/>
      <c r="C449" s="245"/>
      <c r="D449" s="245"/>
      <c r="E449" s="245"/>
      <c r="F449" s="245"/>
      <c r="G449" s="245"/>
      <c r="H449" s="245"/>
      <c r="I449" s="245"/>
      <c r="J449" s="245"/>
      <c r="K449" s="245"/>
      <c r="L449" s="245"/>
      <c r="AR449" s="423"/>
      <c r="AS449" s="423"/>
      <c r="AT449" s="245"/>
    </row>
    <row r="450" spans="1:46" ht="13.5">
      <c r="A450" s="245"/>
      <c r="B450" s="245"/>
      <c r="C450" s="245"/>
      <c r="D450" s="245"/>
      <c r="E450" s="245"/>
      <c r="F450" s="245"/>
      <c r="G450" s="245"/>
      <c r="H450" s="245"/>
      <c r="I450" s="245"/>
      <c r="J450" s="245"/>
      <c r="K450" s="245"/>
      <c r="L450" s="245"/>
      <c r="AR450" s="423"/>
      <c r="AS450" s="423"/>
      <c r="AT450" s="245"/>
    </row>
    <row r="451" spans="1:46" ht="13.5">
      <c r="A451" s="245"/>
      <c r="B451" s="245"/>
      <c r="C451" s="245"/>
      <c r="D451" s="245"/>
      <c r="E451" s="245"/>
      <c r="F451" s="245"/>
      <c r="G451" s="245"/>
      <c r="H451" s="245"/>
      <c r="I451" s="245"/>
      <c r="J451" s="245"/>
      <c r="K451" s="245"/>
      <c r="L451" s="245"/>
      <c r="AR451" s="423"/>
      <c r="AS451" s="423"/>
      <c r="AT451" s="245"/>
    </row>
    <row r="452" spans="1:46" ht="13.5">
      <c r="A452" s="245"/>
      <c r="B452" s="245"/>
      <c r="C452" s="245"/>
      <c r="D452" s="245"/>
      <c r="E452" s="245"/>
      <c r="F452" s="245"/>
      <c r="G452" s="245"/>
      <c r="H452" s="245"/>
      <c r="I452" s="245"/>
      <c r="J452" s="245"/>
      <c r="K452" s="245"/>
      <c r="L452" s="245"/>
      <c r="AR452" s="423"/>
      <c r="AS452" s="423"/>
      <c r="AT452" s="245"/>
    </row>
    <row r="453" spans="1:46" ht="13.5">
      <c r="A453" s="245"/>
      <c r="B453" s="245"/>
      <c r="C453" s="245"/>
      <c r="D453" s="245"/>
      <c r="E453" s="245"/>
      <c r="F453" s="245"/>
      <c r="G453" s="245"/>
      <c r="H453" s="245"/>
      <c r="I453" s="245"/>
      <c r="J453" s="245"/>
      <c r="K453" s="245"/>
      <c r="L453" s="245"/>
      <c r="AR453" s="423"/>
      <c r="AS453" s="423"/>
      <c r="AT453" s="245"/>
    </row>
    <row r="454" spans="1:46" ht="13.5">
      <c r="A454" s="245"/>
      <c r="B454" s="245"/>
      <c r="C454" s="245"/>
      <c r="D454" s="245"/>
      <c r="E454" s="245"/>
      <c r="F454" s="245"/>
      <c r="G454" s="245"/>
      <c r="H454" s="245"/>
      <c r="I454" s="245"/>
      <c r="J454" s="245"/>
      <c r="K454" s="245"/>
      <c r="L454" s="245"/>
      <c r="AR454" s="423"/>
      <c r="AS454" s="423"/>
      <c r="AT454" s="245"/>
    </row>
    <row r="455" spans="1:46" ht="13.5">
      <c r="A455" s="245"/>
      <c r="B455" s="245"/>
      <c r="C455" s="245"/>
      <c r="D455" s="245"/>
      <c r="E455" s="245"/>
      <c r="F455" s="245"/>
      <c r="G455" s="245"/>
      <c r="H455" s="245"/>
      <c r="I455" s="245"/>
      <c r="J455" s="245"/>
      <c r="K455" s="245"/>
      <c r="L455" s="245"/>
      <c r="AR455" s="423"/>
      <c r="AS455" s="423"/>
      <c r="AT455" s="245"/>
    </row>
    <row r="456" spans="1:46" ht="13.5">
      <c r="A456" s="245"/>
      <c r="B456" s="245"/>
      <c r="C456" s="245"/>
      <c r="D456" s="245"/>
      <c r="E456" s="245"/>
      <c r="F456" s="245"/>
      <c r="G456" s="245"/>
      <c r="H456" s="245"/>
      <c r="I456" s="245"/>
      <c r="J456" s="245"/>
      <c r="K456" s="245"/>
      <c r="L456" s="245"/>
      <c r="AR456" s="423"/>
      <c r="AS456" s="423"/>
      <c r="AT456" s="245"/>
    </row>
    <row r="457" spans="1:46" ht="13.5">
      <c r="A457" s="245"/>
      <c r="B457" s="245"/>
      <c r="C457" s="245"/>
      <c r="D457" s="245"/>
      <c r="E457" s="245"/>
      <c r="F457" s="245"/>
      <c r="G457" s="245"/>
      <c r="H457" s="245"/>
      <c r="I457" s="245"/>
      <c r="J457" s="245"/>
      <c r="K457" s="245"/>
      <c r="L457" s="245"/>
      <c r="AR457" s="423"/>
      <c r="AS457" s="423"/>
      <c r="AT457" s="245"/>
    </row>
    <row r="458" spans="1:46" ht="13.5">
      <c r="A458" s="245"/>
      <c r="B458" s="245"/>
      <c r="C458" s="245"/>
      <c r="D458" s="245"/>
      <c r="E458" s="245"/>
      <c r="F458" s="245"/>
      <c r="G458" s="245"/>
      <c r="H458" s="245"/>
      <c r="I458" s="245"/>
      <c r="J458" s="245"/>
      <c r="K458" s="245"/>
      <c r="L458" s="245"/>
      <c r="AR458" s="423"/>
      <c r="AS458" s="423"/>
      <c r="AT458" s="245"/>
    </row>
    <row r="459" spans="1:46" ht="13.5">
      <c r="A459" s="245"/>
      <c r="B459" s="245"/>
      <c r="C459" s="245"/>
      <c r="D459" s="245"/>
      <c r="E459" s="245"/>
      <c r="F459" s="245"/>
      <c r="G459" s="245"/>
      <c r="H459" s="245"/>
      <c r="I459" s="245"/>
      <c r="J459" s="245"/>
      <c r="K459" s="245"/>
      <c r="L459" s="245"/>
      <c r="AR459" s="423"/>
      <c r="AS459" s="423"/>
      <c r="AT459" s="245"/>
    </row>
    <row r="460" spans="1:46" ht="13.5">
      <c r="A460" s="245"/>
      <c r="B460" s="245"/>
      <c r="C460" s="245"/>
      <c r="D460" s="245"/>
      <c r="E460" s="245"/>
      <c r="F460" s="245"/>
      <c r="G460" s="245"/>
      <c r="H460" s="245"/>
      <c r="I460" s="245"/>
      <c r="J460" s="245"/>
      <c r="K460" s="245"/>
      <c r="L460" s="245"/>
      <c r="AR460" s="423"/>
      <c r="AS460" s="423"/>
      <c r="AT460" s="245"/>
    </row>
    <row r="461" spans="1:46" ht="13.5">
      <c r="A461" s="245"/>
      <c r="B461" s="245"/>
      <c r="C461" s="245"/>
      <c r="D461" s="245"/>
      <c r="E461" s="245"/>
      <c r="F461" s="245"/>
      <c r="G461" s="245"/>
      <c r="H461" s="245"/>
      <c r="I461" s="245"/>
      <c r="J461" s="245"/>
      <c r="K461" s="245"/>
      <c r="L461" s="245"/>
      <c r="AR461" s="423"/>
      <c r="AS461" s="423"/>
      <c r="AT461" s="245"/>
    </row>
    <row r="462" spans="1:46" ht="13.5">
      <c r="A462" s="245"/>
      <c r="B462" s="245"/>
      <c r="C462" s="245"/>
      <c r="D462" s="245"/>
      <c r="E462" s="245"/>
      <c r="F462" s="245"/>
      <c r="G462" s="245"/>
      <c r="H462" s="245"/>
      <c r="I462" s="245"/>
      <c r="J462" s="245"/>
      <c r="K462" s="245"/>
      <c r="L462" s="245"/>
      <c r="AR462" s="423"/>
      <c r="AS462" s="423"/>
      <c r="AT462" s="245"/>
    </row>
    <row r="463" spans="1:46" ht="13.5">
      <c r="A463" s="245"/>
      <c r="B463" s="245"/>
      <c r="C463" s="245"/>
      <c r="D463" s="245"/>
      <c r="E463" s="245"/>
      <c r="F463" s="245"/>
      <c r="G463" s="245"/>
      <c r="H463" s="245"/>
      <c r="I463" s="245"/>
      <c r="J463" s="245"/>
      <c r="K463" s="245"/>
      <c r="L463" s="245"/>
      <c r="AR463" s="423"/>
      <c r="AS463" s="423"/>
      <c r="AT463" s="245"/>
    </row>
    <row r="464" spans="1:46" ht="13.5">
      <c r="A464" s="245"/>
      <c r="B464" s="245"/>
      <c r="C464" s="245"/>
      <c r="D464" s="245"/>
      <c r="E464" s="245"/>
      <c r="F464" s="245"/>
      <c r="G464" s="245"/>
      <c r="H464" s="245"/>
      <c r="I464" s="245"/>
      <c r="J464" s="245"/>
      <c r="K464" s="245"/>
      <c r="L464" s="245"/>
      <c r="AR464" s="423"/>
      <c r="AS464" s="423"/>
      <c r="AT464" s="245"/>
    </row>
    <row r="465" spans="1:46" ht="13.5">
      <c r="A465" s="245"/>
      <c r="B465" s="245"/>
      <c r="C465" s="245"/>
      <c r="D465" s="245"/>
      <c r="E465" s="245"/>
      <c r="F465" s="245"/>
      <c r="G465" s="245"/>
      <c r="H465" s="245"/>
      <c r="I465" s="245"/>
      <c r="J465" s="245"/>
      <c r="K465" s="245"/>
      <c r="L465" s="245"/>
      <c r="AR465" s="423"/>
      <c r="AS465" s="423"/>
      <c r="AT465" s="245"/>
    </row>
    <row r="466" spans="1:46" ht="13.5">
      <c r="A466" s="245"/>
      <c r="B466" s="245"/>
      <c r="C466" s="245"/>
      <c r="D466" s="245"/>
      <c r="E466" s="245"/>
      <c r="F466" s="245"/>
      <c r="G466" s="245"/>
      <c r="H466" s="245"/>
      <c r="I466" s="245"/>
      <c r="J466" s="245"/>
      <c r="K466" s="245"/>
      <c r="L466" s="245"/>
      <c r="AR466" s="423"/>
      <c r="AS466" s="423"/>
      <c r="AT466" s="245"/>
    </row>
    <row r="467" spans="1:46" ht="13.5">
      <c r="A467"/>
      <c r="B467"/>
      <c r="C467"/>
      <c r="D467"/>
      <c r="E467"/>
      <c r="F467"/>
      <c r="G467"/>
      <c r="H467"/>
      <c r="I467"/>
      <c r="J467"/>
      <c r="K467"/>
      <c r="L467"/>
      <c r="AR467" s="423"/>
      <c r="AS467" s="423"/>
      <c r="AT467" s="245"/>
    </row>
    <row r="468" spans="1:46" ht="13.5">
      <c r="A468"/>
      <c r="B468"/>
      <c r="C468"/>
      <c r="D468"/>
      <c r="E468"/>
      <c r="F468"/>
      <c r="G468"/>
      <c r="H468"/>
      <c r="I468"/>
      <c r="J468"/>
      <c r="K468"/>
      <c r="L468"/>
      <c r="AR468" s="423"/>
      <c r="AS468" s="423"/>
      <c r="AT468" s="245"/>
    </row>
    <row r="469" spans="1:46" ht="13.5">
      <c r="A469"/>
      <c r="B469"/>
      <c r="C469"/>
      <c r="D469"/>
      <c r="E469"/>
      <c r="F469"/>
      <c r="G469"/>
      <c r="H469"/>
      <c r="I469"/>
      <c r="J469"/>
      <c r="K469"/>
      <c r="L469"/>
      <c r="AR469" s="423"/>
      <c r="AS469" s="423"/>
      <c r="AT469" s="245"/>
    </row>
    <row r="470" spans="1:46" ht="13.5">
      <c r="A470"/>
      <c r="B470"/>
      <c r="C470"/>
      <c r="D470"/>
      <c r="E470"/>
      <c r="F470"/>
      <c r="G470"/>
      <c r="H470"/>
      <c r="I470"/>
      <c r="J470"/>
      <c r="K470"/>
      <c r="L470"/>
      <c r="AR470" s="423"/>
      <c r="AS470" s="423"/>
      <c r="AT470" s="245"/>
    </row>
    <row r="471" spans="1:46" ht="13.5">
      <c r="A471"/>
      <c r="B471"/>
      <c r="C471"/>
      <c r="D471"/>
      <c r="E471"/>
      <c r="F471"/>
      <c r="G471"/>
      <c r="H471"/>
      <c r="I471"/>
      <c r="J471"/>
      <c r="K471"/>
      <c r="L471"/>
      <c r="AR471" s="423"/>
      <c r="AS471" s="423"/>
      <c r="AT471" s="245"/>
    </row>
    <row r="472" spans="1:46" ht="13.5">
      <c r="A472"/>
      <c r="B472"/>
      <c r="C472"/>
      <c r="D472"/>
      <c r="E472"/>
      <c r="F472"/>
      <c r="G472"/>
      <c r="H472"/>
      <c r="I472"/>
      <c r="J472"/>
      <c r="K472"/>
      <c r="L472"/>
      <c r="AR472" s="423"/>
      <c r="AS472" s="423"/>
      <c r="AT472" s="245"/>
    </row>
    <row r="473" spans="1:46" ht="13.5">
      <c r="A473"/>
      <c r="B473"/>
      <c r="C473"/>
      <c r="D473"/>
      <c r="E473"/>
      <c r="F473"/>
      <c r="G473"/>
      <c r="H473"/>
      <c r="I473"/>
      <c r="J473"/>
      <c r="K473"/>
      <c r="L473"/>
      <c r="AR473" s="423"/>
      <c r="AS473" s="423"/>
      <c r="AT473" s="245"/>
    </row>
    <row r="474" spans="1:46" ht="13.5">
      <c r="A474"/>
      <c r="B474"/>
      <c r="C474"/>
      <c r="D474"/>
      <c r="E474"/>
      <c r="F474"/>
      <c r="G474"/>
      <c r="H474"/>
      <c r="I474"/>
      <c r="J474"/>
      <c r="K474"/>
      <c r="L474"/>
      <c r="AR474" s="423"/>
      <c r="AS474" s="423"/>
      <c r="AT474" s="245"/>
    </row>
    <row r="475" spans="1:46" ht="13.5">
      <c r="A475"/>
      <c r="B475"/>
      <c r="C475"/>
      <c r="D475"/>
      <c r="E475"/>
      <c r="F475"/>
      <c r="G475"/>
      <c r="H475"/>
      <c r="I475"/>
      <c r="J475"/>
      <c r="K475"/>
      <c r="L475"/>
      <c r="AR475" s="423"/>
      <c r="AS475" s="423"/>
      <c r="AT475" s="245"/>
    </row>
    <row r="476" spans="1:46" ht="13.5">
      <c r="A476"/>
      <c r="B476"/>
      <c r="C476"/>
      <c r="D476"/>
      <c r="E476"/>
      <c r="F476"/>
      <c r="G476"/>
      <c r="H476"/>
      <c r="I476"/>
      <c r="J476"/>
      <c r="K476"/>
      <c r="L476"/>
      <c r="AR476" s="423"/>
      <c r="AS476" s="423"/>
      <c r="AT476" s="245"/>
    </row>
    <row r="477" spans="1:46" ht="13.5">
      <c r="A477"/>
      <c r="B477"/>
      <c r="C477"/>
      <c r="D477"/>
      <c r="E477"/>
      <c r="F477"/>
      <c r="G477"/>
      <c r="H477"/>
      <c r="I477"/>
      <c r="J477"/>
      <c r="K477"/>
      <c r="L477"/>
      <c r="AR477" s="423"/>
      <c r="AS477" s="423"/>
      <c r="AT477" s="245"/>
    </row>
    <row r="478" spans="1:46" ht="13.5">
      <c r="A478"/>
      <c r="B478"/>
      <c r="C478"/>
      <c r="D478"/>
      <c r="E478"/>
      <c r="F478"/>
      <c r="G478"/>
      <c r="H478"/>
      <c r="I478"/>
      <c r="J478"/>
      <c r="K478"/>
      <c r="L478"/>
      <c r="AR478" s="423"/>
      <c r="AS478" s="423"/>
      <c r="AT478" s="245"/>
    </row>
    <row r="479" spans="1:46" ht="13.5">
      <c r="A479"/>
      <c r="B479"/>
      <c r="C479"/>
      <c r="D479"/>
      <c r="E479"/>
      <c r="F479"/>
      <c r="G479"/>
      <c r="H479"/>
      <c r="I479"/>
      <c r="J479"/>
      <c r="K479"/>
      <c r="L479"/>
      <c r="AR479" s="423"/>
      <c r="AS479" s="423"/>
      <c r="AT479" s="245"/>
    </row>
    <row r="480" spans="1:46" ht="13.5">
      <c r="A480"/>
      <c r="B480"/>
      <c r="C480"/>
      <c r="D480"/>
      <c r="E480"/>
      <c r="F480"/>
      <c r="G480"/>
      <c r="H480"/>
      <c r="I480"/>
      <c r="J480"/>
      <c r="K480"/>
      <c r="L480"/>
      <c r="AR480" s="423"/>
      <c r="AS480" s="423"/>
      <c r="AT480" s="245"/>
    </row>
    <row r="481" spans="1:46" ht="13.5">
      <c r="A481"/>
      <c r="B481"/>
      <c r="C481"/>
      <c r="D481"/>
      <c r="E481"/>
      <c r="F481"/>
      <c r="G481"/>
      <c r="H481"/>
      <c r="I481"/>
      <c r="J481"/>
      <c r="K481"/>
      <c r="L481"/>
      <c r="AR481" s="423"/>
      <c r="AS481" s="423"/>
      <c r="AT481" s="245"/>
    </row>
    <row r="482" spans="1:46" ht="13.5">
      <c r="A482"/>
      <c r="B482"/>
      <c r="C482"/>
      <c r="D482"/>
      <c r="E482"/>
      <c r="F482"/>
      <c r="G482"/>
      <c r="H482"/>
      <c r="I482"/>
      <c r="J482"/>
      <c r="K482"/>
      <c r="L482"/>
      <c r="AR482" s="423"/>
      <c r="AS482" s="423"/>
      <c r="AT482" s="245"/>
    </row>
    <row r="483" spans="1:46" ht="13.5">
      <c r="A483"/>
      <c r="B483"/>
      <c r="C483"/>
      <c r="D483"/>
      <c r="E483"/>
      <c r="F483"/>
      <c r="G483"/>
      <c r="H483"/>
      <c r="I483"/>
      <c r="J483"/>
      <c r="K483"/>
      <c r="L483"/>
      <c r="AR483" s="423"/>
      <c r="AS483" s="423"/>
      <c r="AT483" s="245"/>
    </row>
    <row r="484" spans="1:46" ht="13.5">
      <c r="A484"/>
      <c r="B484"/>
      <c r="C484"/>
      <c r="D484"/>
      <c r="E484"/>
      <c r="F484"/>
      <c r="G484"/>
      <c r="H484"/>
      <c r="I484"/>
      <c r="J484"/>
      <c r="K484"/>
      <c r="L484"/>
      <c r="AR484" s="423"/>
      <c r="AS484" s="423"/>
      <c r="AT484" s="245"/>
    </row>
    <row r="485" spans="1:46" ht="13.5">
      <c r="A485"/>
      <c r="B485"/>
      <c r="C485"/>
      <c r="D485"/>
      <c r="E485"/>
      <c r="F485"/>
      <c r="G485"/>
      <c r="H485"/>
      <c r="I485"/>
      <c r="J485"/>
      <c r="K485"/>
      <c r="L485"/>
      <c r="AR485" s="423"/>
      <c r="AS485" s="423"/>
      <c r="AT485" s="245"/>
    </row>
    <row r="486" spans="1:46" ht="13.5">
      <c r="A486"/>
      <c r="B486"/>
      <c r="C486"/>
      <c r="D486"/>
      <c r="E486"/>
      <c r="F486"/>
      <c r="G486"/>
      <c r="H486"/>
      <c r="I486"/>
      <c r="J486"/>
      <c r="K486"/>
      <c r="L486"/>
      <c r="AR486" s="423"/>
      <c r="AS486" s="423"/>
      <c r="AT486" s="245"/>
    </row>
    <row r="487" spans="1:46" ht="13.5">
      <c r="A487"/>
      <c r="B487"/>
      <c r="C487"/>
      <c r="D487"/>
      <c r="E487"/>
      <c r="F487"/>
      <c r="G487"/>
      <c r="H487"/>
      <c r="I487"/>
      <c r="J487"/>
      <c r="K487"/>
      <c r="L487"/>
      <c r="AR487" s="423"/>
      <c r="AS487" s="423"/>
      <c r="AT487" s="245"/>
    </row>
    <row r="488" spans="1:46" ht="13.5">
      <c r="A488"/>
      <c r="B488"/>
      <c r="C488"/>
      <c r="D488"/>
      <c r="E488"/>
      <c r="F488"/>
      <c r="G488"/>
      <c r="H488"/>
      <c r="I488"/>
      <c r="J488"/>
      <c r="K488"/>
      <c r="L488"/>
      <c r="AR488" s="423"/>
      <c r="AS488" s="423"/>
      <c r="AT488" s="245"/>
    </row>
    <row r="489" spans="1:46" ht="13.5">
      <c r="A489"/>
      <c r="B489"/>
      <c r="C489"/>
      <c r="D489"/>
      <c r="E489"/>
      <c r="F489"/>
      <c r="G489"/>
      <c r="H489"/>
      <c r="I489"/>
      <c r="J489"/>
      <c r="K489"/>
      <c r="L489"/>
      <c r="AR489" s="423"/>
      <c r="AS489" s="423"/>
      <c r="AT489" s="245"/>
    </row>
    <row r="490" spans="1:46" ht="13.5">
      <c r="A490"/>
      <c r="B490"/>
      <c r="C490"/>
      <c r="D490"/>
      <c r="E490"/>
      <c r="F490"/>
      <c r="G490"/>
      <c r="H490"/>
      <c r="I490"/>
      <c r="J490"/>
      <c r="K490"/>
      <c r="L490"/>
      <c r="AR490" s="423"/>
      <c r="AS490" s="423"/>
      <c r="AT490" s="245"/>
    </row>
    <row r="491" spans="1:46" ht="13.5">
      <c r="A491"/>
      <c r="B491"/>
      <c r="C491"/>
      <c r="D491"/>
      <c r="E491"/>
      <c r="F491"/>
      <c r="G491"/>
      <c r="H491"/>
      <c r="I491"/>
      <c r="J491"/>
      <c r="K491"/>
      <c r="L491"/>
      <c r="AR491" s="423"/>
      <c r="AS491" s="423"/>
      <c r="AT491" s="245"/>
    </row>
    <row r="492" spans="1:46" ht="13.5">
      <c r="A492"/>
      <c r="B492"/>
      <c r="C492"/>
      <c r="D492"/>
      <c r="E492"/>
      <c r="F492"/>
      <c r="G492"/>
      <c r="H492"/>
      <c r="I492"/>
      <c r="J492"/>
      <c r="K492"/>
      <c r="L492"/>
      <c r="AR492" s="423"/>
      <c r="AS492" s="423"/>
      <c r="AT492" s="245"/>
    </row>
    <row r="493" spans="1:46" ht="13.5">
      <c r="A493"/>
      <c r="B493"/>
      <c r="C493"/>
      <c r="D493"/>
      <c r="E493"/>
      <c r="F493"/>
      <c r="G493"/>
      <c r="H493"/>
      <c r="I493"/>
      <c r="J493"/>
      <c r="K493"/>
      <c r="L493"/>
      <c r="AR493" s="423"/>
      <c r="AS493" s="423"/>
      <c r="AT493" s="245"/>
    </row>
    <row r="494" spans="1:46" ht="13.5">
      <c r="A494"/>
      <c r="B494"/>
      <c r="C494"/>
      <c r="D494"/>
      <c r="E494"/>
      <c r="F494"/>
      <c r="G494"/>
      <c r="H494"/>
      <c r="I494"/>
      <c r="J494"/>
      <c r="K494"/>
      <c r="L494"/>
      <c r="AR494" s="423"/>
      <c r="AS494" s="423"/>
      <c r="AT494" s="245"/>
    </row>
    <row r="495" spans="1:46" ht="13.5">
      <c r="A495"/>
      <c r="B495"/>
      <c r="C495"/>
      <c r="D495"/>
      <c r="E495"/>
      <c r="F495"/>
      <c r="G495"/>
      <c r="H495"/>
      <c r="I495"/>
      <c r="J495"/>
      <c r="K495"/>
      <c r="L495"/>
      <c r="AR495" s="423"/>
      <c r="AS495" s="423"/>
      <c r="AT495" s="245"/>
    </row>
    <row r="496" spans="1:46" ht="13.5">
      <c r="A496"/>
      <c r="B496"/>
      <c r="C496"/>
      <c r="D496"/>
      <c r="E496"/>
      <c r="F496"/>
      <c r="G496"/>
      <c r="H496"/>
      <c r="I496"/>
      <c r="J496"/>
      <c r="K496"/>
      <c r="L496"/>
      <c r="AR496" s="423"/>
      <c r="AS496" s="423"/>
      <c r="AT496" s="245"/>
    </row>
    <row r="497" spans="1:46" ht="13.5">
      <c r="A497"/>
      <c r="B497"/>
      <c r="C497"/>
      <c r="D497"/>
      <c r="E497"/>
      <c r="F497"/>
      <c r="G497"/>
      <c r="H497"/>
      <c r="I497"/>
      <c r="J497"/>
      <c r="K497"/>
      <c r="L497"/>
      <c r="AR497" s="423"/>
      <c r="AS497" s="423"/>
      <c r="AT497" s="245"/>
    </row>
    <row r="498" spans="1:46" ht="13.5">
      <c r="A498"/>
      <c r="B498"/>
      <c r="C498"/>
      <c r="D498"/>
      <c r="E498"/>
      <c r="F498"/>
      <c r="G498"/>
      <c r="H498"/>
      <c r="I498"/>
      <c r="J498"/>
      <c r="K498"/>
      <c r="L498"/>
      <c r="AR498" s="423"/>
      <c r="AS498" s="423"/>
      <c r="AT498" s="245"/>
    </row>
    <row r="499" spans="1:46" ht="13.5">
      <c r="A499"/>
      <c r="B499"/>
      <c r="C499"/>
      <c r="D499"/>
      <c r="E499"/>
      <c r="F499"/>
      <c r="G499"/>
      <c r="H499"/>
      <c r="I499"/>
      <c r="J499"/>
      <c r="K499"/>
      <c r="L499"/>
      <c r="AR499" s="423"/>
      <c r="AS499" s="423"/>
      <c r="AT499" s="245"/>
    </row>
    <row r="500" spans="1:46" ht="13.5">
      <c r="A500"/>
      <c r="B500"/>
      <c r="C500"/>
      <c r="D500"/>
      <c r="E500"/>
      <c r="F500"/>
      <c r="G500"/>
      <c r="H500"/>
      <c r="I500"/>
      <c r="J500"/>
      <c r="K500"/>
      <c r="L500"/>
      <c r="AR500" s="423"/>
      <c r="AS500" s="423"/>
      <c r="AT500" s="245"/>
    </row>
    <row r="501" spans="1:46" ht="13.5">
      <c r="A501"/>
      <c r="B501"/>
      <c r="C501"/>
      <c r="D501"/>
      <c r="E501"/>
      <c r="F501"/>
      <c r="G501"/>
      <c r="H501"/>
      <c r="I501"/>
      <c r="J501"/>
      <c r="K501"/>
      <c r="L501"/>
      <c r="AR501" s="423"/>
      <c r="AS501" s="423"/>
      <c r="AT501" s="245"/>
    </row>
    <row r="502" spans="1:46" ht="13.5">
      <c r="A502"/>
      <c r="B502"/>
      <c r="C502"/>
      <c r="D502"/>
      <c r="E502"/>
      <c r="F502"/>
      <c r="G502"/>
      <c r="H502"/>
      <c r="I502"/>
      <c r="J502"/>
      <c r="K502"/>
      <c r="L502"/>
      <c r="AR502" s="423"/>
      <c r="AS502" s="423"/>
      <c r="AT502" s="245"/>
    </row>
    <row r="503" spans="1:46" ht="13.5">
      <c r="A503"/>
      <c r="B503"/>
      <c r="C503"/>
      <c r="D503"/>
      <c r="E503"/>
      <c r="F503"/>
      <c r="G503"/>
      <c r="H503"/>
      <c r="I503"/>
      <c r="J503"/>
      <c r="K503"/>
      <c r="L503"/>
      <c r="AR503" s="423"/>
      <c r="AS503" s="423"/>
      <c r="AT503" s="245"/>
    </row>
    <row r="504" spans="1:46" ht="13.5">
      <c r="A504"/>
      <c r="B504"/>
      <c r="C504"/>
      <c r="D504"/>
      <c r="E504"/>
      <c r="F504"/>
      <c r="G504"/>
      <c r="H504"/>
      <c r="I504"/>
      <c r="J504"/>
      <c r="K504"/>
      <c r="L504"/>
      <c r="AR504" s="423"/>
      <c r="AS504" s="423"/>
      <c r="AT504" s="245"/>
    </row>
    <row r="505" spans="1:46" ht="13.5">
      <c r="A505"/>
      <c r="B505"/>
      <c r="C505"/>
      <c r="D505"/>
      <c r="E505"/>
      <c r="F505"/>
      <c r="G505"/>
      <c r="H505"/>
      <c r="I505"/>
      <c r="J505"/>
      <c r="K505"/>
      <c r="L505"/>
      <c r="AR505" s="423"/>
      <c r="AS505" s="423"/>
      <c r="AT505" s="245"/>
    </row>
    <row r="506" spans="1:46" ht="13.5">
      <c r="A506"/>
      <c r="B506"/>
      <c r="C506"/>
      <c r="D506"/>
      <c r="E506"/>
      <c r="F506"/>
      <c r="G506"/>
      <c r="H506"/>
      <c r="I506"/>
      <c r="J506"/>
      <c r="K506"/>
      <c r="L506"/>
      <c r="AR506" s="423"/>
      <c r="AS506" s="423"/>
      <c r="AT506" s="245"/>
    </row>
    <row r="507" spans="1:46" ht="13.5">
      <c r="A507"/>
      <c r="B507"/>
      <c r="C507"/>
      <c r="D507"/>
      <c r="E507"/>
      <c r="F507"/>
      <c r="G507"/>
      <c r="H507"/>
      <c r="I507"/>
      <c r="J507"/>
      <c r="K507"/>
      <c r="L507"/>
      <c r="AR507" s="423"/>
      <c r="AS507" s="423"/>
      <c r="AT507" s="245"/>
    </row>
    <row r="508" spans="1:46" ht="13.5">
      <c r="A508"/>
      <c r="B508"/>
      <c r="C508"/>
      <c r="D508"/>
      <c r="E508"/>
      <c r="F508"/>
      <c r="G508"/>
      <c r="H508"/>
      <c r="I508"/>
      <c r="J508"/>
      <c r="K508"/>
      <c r="L508"/>
      <c r="AR508" s="423"/>
      <c r="AS508" s="423"/>
      <c r="AT508" s="245"/>
    </row>
    <row r="509" spans="1:46" ht="13.5">
      <c r="A509"/>
      <c r="B509"/>
      <c r="C509"/>
      <c r="D509"/>
      <c r="E509"/>
      <c r="F509"/>
      <c r="G509"/>
      <c r="H509"/>
      <c r="I509"/>
      <c r="J509"/>
      <c r="K509"/>
      <c r="L509"/>
      <c r="AR509" s="423"/>
      <c r="AS509" s="423"/>
      <c r="AT509" s="245"/>
    </row>
    <row r="510" spans="1:46" ht="13.5">
      <c r="A510"/>
      <c r="B510"/>
      <c r="C510"/>
      <c r="D510"/>
      <c r="E510"/>
      <c r="F510"/>
      <c r="G510"/>
      <c r="H510"/>
      <c r="I510"/>
      <c r="J510"/>
      <c r="K510"/>
      <c r="L510"/>
      <c r="AR510" s="423"/>
      <c r="AS510" s="423"/>
      <c r="AT510" s="245"/>
    </row>
    <row r="511" spans="1:46" ht="13.5">
      <c r="A511"/>
      <c r="B511"/>
      <c r="C511"/>
      <c r="D511"/>
      <c r="E511"/>
      <c r="F511"/>
      <c r="G511"/>
      <c r="H511"/>
      <c r="I511"/>
      <c r="J511"/>
      <c r="K511"/>
      <c r="L511"/>
      <c r="AR511" s="423"/>
      <c r="AS511" s="423"/>
      <c r="AT511" s="245"/>
    </row>
    <row r="512" spans="1:46" ht="13.5">
      <c r="A512"/>
      <c r="B512"/>
      <c r="C512"/>
      <c r="D512"/>
      <c r="E512"/>
      <c r="F512"/>
      <c r="G512"/>
      <c r="H512"/>
      <c r="I512"/>
      <c r="J512"/>
      <c r="K512"/>
      <c r="L512"/>
      <c r="AR512" s="423"/>
      <c r="AS512" s="423"/>
      <c r="AT512" s="245"/>
    </row>
    <row r="513" spans="1:46" ht="13.5">
      <c r="A513"/>
      <c r="B513"/>
      <c r="C513"/>
      <c r="D513"/>
      <c r="E513"/>
      <c r="F513"/>
      <c r="G513"/>
      <c r="H513"/>
      <c r="I513"/>
      <c r="J513"/>
      <c r="K513"/>
      <c r="L513"/>
      <c r="AR513" s="423"/>
      <c r="AS513" s="423"/>
      <c r="AT513" s="245"/>
    </row>
    <row r="514" spans="1:46" ht="13.5">
      <c r="A514"/>
      <c r="B514"/>
      <c r="C514"/>
      <c r="D514"/>
      <c r="E514"/>
      <c r="F514"/>
      <c r="G514"/>
      <c r="H514"/>
      <c r="I514"/>
      <c r="J514"/>
      <c r="K514"/>
      <c r="L514"/>
      <c r="AR514" s="423"/>
      <c r="AS514" s="423"/>
      <c r="AT514" s="245"/>
    </row>
    <row r="515" spans="1:46" ht="13.5">
      <c r="A515"/>
      <c r="B515"/>
      <c r="C515"/>
      <c r="D515"/>
      <c r="E515"/>
      <c r="F515"/>
      <c r="G515"/>
      <c r="H515"/>
      <c r="I515"/>
      <c r="J515"/>
      <c r="K515"/>
      <c r="L515"/>
      <c r="AR515" s="423"/>
      <c r="AS515" s="423"/>
      <c r="AT515" s="245"/>
    </row>
    <row r="516" spans="1:46" ht="13.5">
      <c r="A516"/>
      <c r="B516"/>
      <c r="C516"/>
      <c r="D516"/>
      <c r="E516"/>
      <c r="F516"/>
      <c r="G516"/>
      <c r="H516"/>
      <c r="I516"/>
      <c r="J516"/>
      <c r="K516"/>
      <c r="L516"/>
      <c r="AR516" s="423"/>
      <c r="AS516" s="423"/>
      <c r="AT516" s="245"/>
    </row>
    <row r="517" spans="1:46" ht="13.5">
      <c r="A517"/>
      <c r="B517"/>
      <c r="C517"/>
      <c r="D517"/>
      <c r="E517"/>
      <c r="F517"/>
      <c r="G517"/>
      <c r="H517"/>
      <c r="I517"/>
      <c r="J517"/>
      <c r="K517"/>
      <c r="L517"/>
      <c r="AR517" s="423"/>
      <c r="AS517" s="423"/>
      <c r="AT517" s="245"/>
    </row>
    <row r="518" spans="1:46" ht="13.5">
      <c r="A518"/>
      <c r="B518"/>
      <c r="C518"/>
      <c r="D518"/>
      <c r="E518"/>
      <c r="F518"/>
      <c r="G518"/>
      <c r="H518"/>
      <c r="I518"/>
      <c r="J518"/>
      <c r="K518"/>
      <c r="L518"/>
      <c r="AR518" s="423"/>
      <c r="AS518" s="423"/>
      <c r="AT518" s="245"/>
    </row>
    <row r="519" spans="1:46" ht="13.5">
      <c r="A519"/>
      <c r="B519"/>
      <c r="C519"/>
      <c r="D519"/>
      <c r="E519"/>
      <c r="F519"/>
      <c r="G519"/>
      <c r="H519"/>
      <c r="I519"/>
      <c r="J519"/>
      <c r="K519"/>
      <c r="L519"/>
      <c r="AR519" s="423"/>
      <c r="AS519" s="423"/>
      <c r="AT519" s="245"/>
    </row>
    <row r="520" spans="1:46" ht="13.5">
      <c r="A520"/>
      <c r="B520"/>
      <c r="C520"/>
      <c r="D520"/>
      <c r="E520"/>
      <c r="F520"/>
      <c r="G520"/>
      <c r="H520"/>
      <c r="I520"/>
      <c r="J520"/>
      <c r="K520"/>
      <c r="L520"/>
      <c r="AR520" s="423"/>
      <c r="AS520" s="423"/>
      <c r="AT520" s="245"/>
    </row>
    <row r="521" spans="1:46" ht="13.5">
      <c r="A521"/>
      <c r="B521"/>
      <c r="C521"/>
      <c r="D521"/>
      <c r="E521"/>
      <c r="F521"/>
      <c r="G521"/>
      <c r="H521"/>
      <c r="I521"/>
      <c r="J521"/>
      <c r="K521"/>
      <c r="L521"/>
      <c r="AR521" s="423"/>
      <c r="AS521" s="423"/>
      <c r="AT521" s="245"/>
    </row>
    <row r="522" spans="1:46" ht="13.5">
      <c r="A522"/>
      <c r="B522"/>
      <c r="C522"/>
      <c r="D522"/>
      <c r="E522"/>
      <c r="F522"/>
      <c r="G522"/>
      <c r="H522"/>
      <c r="I522"/>
      <c r="J522"/>
      <c r="K522"/>
      <c r="L522"/>
      <c r="AR522" s="423"/>
      <c r="AS522" s="423"/>
      <c r="AT522" s="245"/>
    </row>
    <row r="523" spans="1:46" ht="13.5">
      <c r="A523"/>
      <c r="B523"/>
      <c r="C523"/>
      <c r="D523"/>
      <c r="E523"/>
      <c r="F523"/>
      <c r="G523"/>
      <c r="H523"/>
      <c r="I523"/>
      <c r="J523"/>
      <c r="K523"/>
      <c r="L523"/>
      <c r="AR523" s="423"/>
      <c r="AS523" s="423"/>
      <c r="AT523" s="245"/>
    </row>
    <row r="524" spans="1:46" ht="13.5">
      <c r="A524"/>
      <c r="B524"/>
      <c r="C524"/>
      <c r="D524"/>
      <c r="E524"/>
      <c r="F524"/>
      <c r="G524"/>
      <c r="H524"/>
      <c r="I524"/>
      <c r="J524"/>
      <c r="K524"/>
      <c r="L524"/>
      <c r="AR524" s="423"/>
      <c r="AS524" s="423"/>
      <c r="AT524" s="245"/>
    </row>
    <row r="525" spans="1:46" ht="13.5">
      <c r="A525"/>
      <c r="B525"/>
      <c r="C525"/>
      <c r="D525"/>
      <c r="E525"/>
      <c r="F525"/>
      <c r="G525"/>
      <c r="H525"/>
      <c r="I525"/>
      <c r="J525"/>
      <c r="K525"/>
      <c r="L525"/>
      <c r="AR525" s="423"/>
      <c r="AS525" s="423"/>
      <c r="AT525" s="245"/>
    </row>
    <row r="526" spans="1:46" ht="13.5">
      <c r="A526"/>
      <c r="B526"/>
      <c r="C526"/>
      <c r="D526"/>
      <c r="E526"/>
      <c r="F526"/>
      <c r="G526"/>
      <c r="H526"/>
      <c r="I526"/>
      <c r="J526"/>
      <c r="K526"/>
      <c r="L526"/>
      <c r="AR526" s="423"/>
      <c r="AS526" s="423"/>
      <c r="AT526" s="245"/>
    </row>
    <row r="527" spans="1:46" ht="13.5">
      <c r="A527"/>
      <c r="B527"/>
      <c r="C527"/>
      <c r="D527"/>
      <c r="E527"/>
      <c r="F527"/>
      <c r="G527"/>
      <c r="H527"/>
      <c r="I527"/>
      <c r="J527"/>
      <c r="K527"/>
      <c r="L527"/>
      <c r="AR527" s="423"/>
      <c r="AS527" s="423"/>
      <c r="AT527" s="245"/>
    </row>
    <row r="528" spans="1:46" ht="13.5">
      <c r="A528"/>
      <c r="B528"/>
      <c r="C528"/>
      <c r="D528"/>
      <c r="E528"/>
      <c r="F528"/>
      <c r="G528"/>
      <c r="H528"/>
      <c r="I528"/>
      <c r="J528"/>
      <c r="K528"/>
      <c r="L528"/>
      <c r="AR528" s="423"/>
      <c r="AS528" s="423"/>
      <c r="AT528" s="245"/>
    </row>
    <row r="529" spans="1:46" ht="13.5">
      <c r="A529"/>
      <c r="B529"/>
      <c r="C529"/>
      <c r="D529"/>
      <c r="E529"/>
      <c r="F529"/>
      <c r="G529"/>
      <c r="H529"/>
      <c r="I529"/>
      <c r="J529"/>
      <c r="K529"/>
      <c r="L529"/>
      <c r="AR529" s="423"/>
      <c r="AS529" s="423"/>
      <c r="AT529" s="245"/>
    </row>
    <row r="530" spans="1:46" ht="13.5">
      <c r="A530"/>
      <c r="B530"/>
      <c r="C530"/>
      <c r="D530"/>
      <c r="E530"/>
      <c r="F530"/>
      <c r="G530"/>
      <c r="H530"/>
      <c r="I530"/>
      <c r="J530"/>
      <c r="K530"/>
      <c r="L530"/>
      <c r="AR530" s="423"/>
      <c r="AS530" s="423"/>
      <c r="AT530" s="245"/>
    </row>
    <row r="531" spans="1:46" ht="13.5">
      <c r="A531"/>
      <c r="B531"/>
      <c r="C531"/>
      <c r="D531"/>
      <c r="E531"/>
      <c r="F531"/>
      <c r="G531"/>
      <c r="H531"/>
      <c r="I531"/>
      <c r="J531"/>
      <c r="K531"/>
      <c r="L531"/>
      <c r="AR531" s="423"/>
      <c r="AS531" s="423"/>
      <c r="AT531" s="245"/>
    </row>
    <row r="532" spans="1:46" ht="13.5">
      <c r="A532"/>
      <c r="B532"/>
      <c r="C532"/>
      <c r="D532"/>
      <c r="E532"/>
      <c r="F532"/>
      <c r="G532"/>
      <c r="H532"/>
      <c r="I532"/>
      <c r="J532"/>
      <c r="K532"/>
      <c r="L532"/>
      <c r="AR532" s="423"/>
      <c r="AS532" s="423"/>
      <c r="AT532" s="245"/>
    </row>
    <row r="533" spans="1:46" ht="13.5">
      <c r="A533"/>
      <c r="B533"/>
      <c r="C533"/>
      <c r="D533"/>
      <c r="E533"/>
      <c r="F533"/>
      <c r="G533"/>
      <c r="H533"/>
      <c r="I533"/>
      <c r="J533"/>
      <c r="K533"/>
      <c r="L533"/>
      <c r="AR533" s="423"/>
      <c r="AS533" s="423"/>
      <c r="AT533" s="245"/>
    </row>
    <row r="534" spans="1:46" ht="13.5">
      <c r="A534"/>
      <c r="B534"/>
      <c r="C534"/>
      <c r="D534"/>
      <c r="E534"/>
      <c r="F534"/>
      <c r="G534"/>
      <c r="H534"/>
      <c r="I534"/>
      <c r="J534"/>
      <c r="K534"/>
      <c r="L534"/>
      <c r="AR534" s="423"/>
      <c r="AS534" s="423"/>
      <c r="AT534" s="245"/>
    </row>
    <row r="535" spans="1:46" ht="13.5">
      <c r="A535"/>
      <c r="B535"/>
      <c r="C535"/>
      <c r="D535"/>
      <c r="E535"/>
      <c r="F535"/>
      <c r="G535"/>
      <c r="H535"/>
      <c r="I535"/>
      <c r="J535"/>
      <c r="K535"/>
      <c r="L535"/>
      <c r="AR535" s="423"/>
      <c r="AS535" s="423"/>
      <c r="AT535" s="245"/>
    </row>
    <row r="536" spans="1:46" ht="13.5">
      <c r="A536"/>
      <c r="B536"/>
      <c r="C536"/>
      <c r="D536"/>
      <c r="E536"/>
      <c r="F536"/>
      <c r="G536"/>
      <c r="H536"/>
      <c r="I536"/>
      <c r="J536"/>
      <c r="K536"/>
      <c r="L536"/>
      <c r="AR536" s="423"/>
      <c r="AS536" s="423"/>
      <c r="AT536" s="245"/>
    </row>
    <row r="537" spans="1:46" ht="13.5">
      <c r="A537"/>
      <c r="B537"/>
      <c r="C537"/>
      <c r="D537"/>
      <c r="E537"/>
      <c r="F537"/>
      <c r="G537"/>
      <c r="H537"/>
      <c r="I537"/>
      <c r="J537"/>
      <c r="K537"/>
      <c r="L537"/>
      <c r="AR537" s="423"/>
      <c r="AS537" s="423"/>
      <c r="AT537" s="245"/>
    </row>
    <row r="538" spans="1:46" ht="13.5">
      <c r="A538"/>
      <c r="B538"/>
      <c r="C538"/>
      <c r="D538"/>
      <c r="E538"/>
      <c r="F538"/>
      <c r="G538"/>
      <c r="H538"/>
      <c r="I538"/>
      <c r="J538"/>
      <c r="K538"/>
      <c r="L538"/>
      <c r="AR538" s="423"/>
      <c r="AS538" s="423"/>
      <c r="AT538" s="245"/>
    </row>
    <row r="539" spans="1:46" ht="13.5">
      <c r="A539"/>
      <c r="B539"/>
      <c r="C539"/>
      <c r="D539"/>
      <c r="E539"/>
      <c r="F539"/>
      <c r="G539"/>
      <c r="H539"/>
      <c r="I539"/>
      <c r="J539"/>
      <c r="K539"/>
      <c r="L539"/>
      <c r="AR539" s="423"/>
      <c r="AS539" s="423"/>
      <c r="AT539" s="245"/>
    </row>
    <row r="540" spans="1:46" ht="13.5">
      <c r="A540"/>
      <c r="B540"/>
      <c r="C540"/>
      <c r="D540"/>
      <c r="E540"/>
      <c r="F540"/>
      <c r="G540"/>
      <c r="H540"/>
      <c r="I540"/>
      <c r="J540"/>
      <c r="K540"/>
      <c r="L540"/>
      <c r="AR540" s="423"/>
      <c r="AS540" s="423"/>
      <c r="AT540" s="245"/>
    </row>
    <row r="541" spans="1:46" ht="13.5">
      <c r="A541"/>
      <c r="B541"/>
      <c r="C541"/>
      <c r="D541"/>
      <c r="E541"/>
      <c r="F541"/>
      <c r="G541"/>
      <c r="H541"/>
      <c r="I541"/>
      <c r="J541"/>
      <c r="K541"/>
      <c r="L541"/>
      <c r="AR541" s="423"/>
      <c r="AS541" s="423"/>
      <c r="AT541" s="245"/>
    </row>
    <row r="542" spans="1:46" ht="13.5">
      <c r="A542"/>
      <c r="B542"/>
      <c r="C542"/>
      <c r="D542"/>
      <c r="E542"/>
      <c r="F542"/>
      <c r="G542"/>
      <c r="H542"/>
      <c r="I542"/>
      <c r="J542"/>
      <c r="K542"/>
      <c r="L542"/>
      <c r="AR542" s="423"/>
      <c r="AS542" s="423"/>
      <c r="AT542" s="245"/>
    </row>
    <row r="543" spans="1:46" ht="13.5">
      <c r="A543"/>
      <c r="B543"/>
      <c r="C543"/>
      <c r="D543"/>
      <c r="E543"/>
      <c r="F543"/>
      <c r="G543"/>
      <c r="H543"/>
      <c r="I543"/>
      <c r="J543"/>
      <c r="K543"/>
      <c r="L543"/>
      <c r="AR543" s="423"/>
      <c r="AS543" s="423"/>
      <c r="AT543" s="245"/>
    </row>
    <row r="544" spans="1:46" ht="13.5">
      <c r="A544"/>
      <c r="B544"/>
      <c r="C544"/>
      <c r="D544"/>
      <c r="E544"/>
      <c r="F544"/>
      <c r="G544"/>
      <c r="H544"/>
      <c r="I544"/>
      <c r="J544"/>
      <c r="K544"/>
      <c r="L544"/>
      <c r="AR544" s="423"/>
      <c r="AS544" s="423"/>
      <c r="AT544" s="245"/>
    </row>
    <row r="545" spans="1:46" ht="13.5">
      <c r="A545"/>
      <c r="B545"/>
      <c r="C545"/>
      <c r="D545"/>
      <c r="E545"/>
      <c r="F545"/>
      <c r="G545"/>
      <c r="H545"/>
      <c r="I545"/>
      <c r="J545"/>
      <c r="K545"/>
      <c r="L545"/>
      <c r="AR545" s="423"/>
      <c r="AS545" s="423"/>
      <c r="AT545" s="245"/>
    </row>
    <row r="546" spans="1:46" ht="13.5">
      <c r="A546"/>
      <c r="B546"/>
      <c r="C546"/>
      <c r="D546"/>
      <c r="E546"/>
      <c r="F546"/>
      <c r="G546"/>
      <c r="H546"/>
      <c r="I546"/>
      <c r="J546"/>
      <c r="K546"/>
      <c r="L546"/>
      <c r="AR546" s="423"/>
      <c r="AS546" s="423"/>
      <c r="AT546" s="245"/>
    </row>
    <row r="547" spans="1:46" ht="13.5">
      <c r="A547"/>
      <c r="B547"/>
      <c r="C547"/>
      <c r="D547"/>
      <c r="E547"/>
      <c r="F547"/>
      <c r="G547"/>
      <c r="H547"/>
      <c r="I547"/>
      <c r="J547"/>
      <c r="K547"/>
      <c r="L547"/>
      <c r="AR547" s="423"/>
      <c r="AS547" s="423"/>
      <c r="AT547" s="245"/>
    </row>
    <row r="548" spans="1:46" ht="13.5">
      <c r="A548"/>
      <c r="B548"/>
      <c r="C548"/>
      <c r="D548"/>
      <c r="E548"/>
      <c r="F548"/>
      <c r="G548"/>
      <c r="H548"/>
      <c r="I548"/>
      <c r="J548"/>
      <c r="K548"/>
      <c r="L548"/>
      <c r="AR548" s="423"/>
      <c r="AS548" s="423"/>
      <c r="AT548" s="245"/>
    </row>
    <row r="549" spans="1:46" ht="13.5">
      <c r="A549"/>
      <c r="B549"/>
      <c r="C549"/>
      <c r="D549"/>
      <c r="E549"/>
      <c r="F549"/>
      <c r="G549"/>
      <c r="H549"/>
      <c r="I549"/>
      <c r="J549"/>
      <c r="K549"/>
      <c r="L549"/>
      <c r="AR549" s="423"/>
      <c r="AS549" s="423"/>
      <c r="AT549" s="245"/>
    </row>
    <row r="550" spans="1:46" ht="13.5">
      <c r="A550"/>
      <c r="B550"/>
      <c r="C550"/>
      <c r="D550"/>
      <c r="E550"/>
      <c r="F550"/>
      <c r="G550"/>
      <c r="H550"/>
      <c r="I550"/>
      <c r="J550"/>
      <c r="K550"/>
      <c r="L550"/>
      <c r="AR550" s="423"/>
      <c r="AS550" s="423"/>
      <c r="AT550" s="245"/>
    </row>
    <row r="551" spans="1:46" ht="13.5">
      <c r="A551"/>
      <c r="B551"/>
      <c r="C551"/>
      <c r="D551"/>
      <c r="E551"/>
      <c r="F551"/>
      <c r="G551"/>
      <c r="H551"/>
      <c r="I551"/>
      <c r="J551"/>
      <c r="K551"/>
      <c r="L551"/>
      <c r="AR551" s="423"/>
      <c r="AS551" s="423"/>
      <c r="AT551" s="245"/>
    </row>
    <row r="552" spans="1:46" ht="13.5">
      <c r="A552"/>
      <c r="B552"/>
      <c r="C552"/>
      <c r="D552"/>
      <c r="E552"/>
      <c r="F552"/>
      <c r="G552"/>
      <c r="H552"/>
      <c r="I552"/>
      <c r="J552"/>
      <c r="K552"/>
      <c r="L552"/>
      <c r="AR552" s="423"/>
      <c r="AS552" s="423"/>
      <c r="AT552" s="245"/>
    </row>
    <row r="553" spans="1:46" ht="13.5">
      <c r="A553"/>
      <c r="B553"/>
      <c r="C553"/>
      <c r="D553"/>
      <c r="E553"/>
      <c r="F553"/>
      <c r="G553"/>
      <c r="H553"/>
      <c r="I553"/>
      <c r="J553"/>
      <c r="K553"/>
      <c r="L553"/>
      <c r="AR553" s="423"/>
      <c r="AS553" s="423"/>
      <c r="AT553" s="245"/>
    </row>
    <row r="554" spans="1:46" ht="13.5">
      <c r="A554"/>
      <c r="B554"/>
      <c r="C554"/>
      <c r="D554"/>
      <c r="E554"/>
      <c r="F554"/>
      <c r="G554"/>
      <c r="H554"/>
      <c r="I554"/>
      <c r="J554"/>
      <c r="K554"/>
      <c r="L554"/>
      <c r="AR554" s="423"/>
      <c r="AS554" s="423"/>
      <c r="AT554" s="245"/>
    </row>
    <row r="555" spans="1:46" ht="13.5">
      <c r="A555"/>
      <c r="B555"/>
      <c r="C555"/>
      <c r="D555"/>
      <c r="E555"/>
      <c r="F555"/>
      <c r="G555"/>
      <c r="H555"/>
      <c r="I555"/>
      <c r="J555"/>
      <c r="K555"/>
      <c r="L555"/>
      <c r="AR555" s="423"/>
      <c r="AS555" s="423"/>
      <c r="AT555" s="245"/>
    </row>
    <row r="556" spans="1:46" ht="13.5">
      <c r="A556"/>
      <c r="B556"/>
      <c r="C556"/>
      <c r="D556"/>
      <c r="E556"/>
      <c r="F556"/>
      <c r="G556"/>
      <c r="H556"/>
      <c r="I556"/>
      <c r="J556"/>
      <c r="K556"/>
      <c r="L556"/>
      <c r="AR556" s="423"/>
      <c r="AS556" s="423"/>
      <c r="AT556" s="245"/>
    </row>
    <row r="557" spans="1:46" ht="13.5">
      <c r="A557"/>
      <c r="B557"/>
      <c r="C557"/>
      <c r="D557"/>
      <c r="E557"/>
      <c r="F557"/>
      <c r="G557"/>
      <c r="H557"/>
      <c r="I557"/>
      <c r="J557"/>
      <c r="K557"/>
      <c r="L557"/>
      <c r="AR557" s="423"/>
      <c r="AS557" s="423"/>
      <c r="AT557" s="245"/>
    </row>
    <row r="558" spans="1:46" ht="13.5">
      <c r="A558"/>
      <c r="B558"/>
      <c r="C558"/>
      <c r="D558"/>
      <c r="E558"/>
      <c r="F558"/>
      <c r="G558"/>
      <c r="H558"/>
      <c r="I558"/>
      <c r="J558"/>
      <c r="K558"/>
      <c r="L558"/>
      <c r="AR558" s="423"/>
      <c r="AS558" s="423"/>
      <c r="AT558" s="245"/>
    </row>
    <row r="559" spans="1:46" ht="13.5">
      <c r="A559"/>
      <c r="B559"/>
      <c r="C559"/>
      <c r="D559"/>
      <c r="E559"/>
      <c r="F559"/>
      <c r="G559"/>
      <c r="H559"/>
      <c r="I559"/>
      <c r="J559"/>
      <c r="K559"/>
      <c r="L559"/>
      <c r="AR559" s="423"/>
      <c r="AS559" s="423"/>
      <c r="AT559" s="245"/>
    </row>
    <row r="560" spans="1:46" ht="13.5">
      <c r="A560"/>
      <c r="B560"/>
      <c r="C560"/>
      <c r="D560"/>
      <c r="E560"/>
      <c r="F560"/>
      <c r="G560"/>
      <c r="H560"/>
      <c r="I560"/>
      <c r="J560"/>
      <c r="K560"/>
      <c r="L560"/>
      <c r="AR560" s="423"/>
      <c r="AS560" s="423"/>
      <c r="AT560" s="245"/>
    </row>
    <row r="561" spans="1:46" ht="13.5">
      <c r="A561"/>
      <c r="B561"/>
      <c r="C561"/>
      <c r="D561"/>
      <c r="E561"/>
      <c r="F561"/>
      <c r="G561"/>
      <c r="H561"/>
      <c r="I561"/>
      <c r="J561"/>
      <c r="K561"/>
      <c r="L561"/>
      <c r="AR561" s="423"/>
      <c r="AS561" s="423"/>
      <c r="AT561" s="245"/>
    </row>
    <row r="562" spans="1:46" ht="13.5">
      <c r="A562"/>
      <c r="B562"/>
      <c r="C562"/>
      <c r="D562"/>
      <c r="E562"/>
      <c r="F562"/>
      <c r="G562"/>
      <c r="H562"/>
      <c r="I562"/>
      <c r="J562"/>
      <c r="K562"/>
      <c r="L562"/>
      <c r="AR562" s="423"/>
      <c r="AS562" s="423"/>
      <c r="AT562" s="245"/>
    </row>
    <row r="563" spans="1:46" ht="13.5">
      <c r="A563"/>
      <c r="B563"/>
      <c r="C563"/>
      <c r="D563"/>
      <c r="E563"/>
      <c r="F563"/>
      <c r="G563"/>
      <c r="H563"/>
      <c r="I563"/>
      <c r="J563"/>
      <c r="K563"/>
      <c r="L563"/>
      <c r="AR563" s="423"/>
      <c r="AS563" s="423"/>
      <c r="AT563" s="245"/>
    </row>
    <row r="564" spans="1:46" ht="13.5">
      <c r="A564"/>
      <c r="B564"/>
      <c r="C564"/>
      <c r="D564"/>
      <c r="E564"/>
      <c r="F564"/>
      <c r="G564"/>
      <c r="H564"/>
      <c r="I564"/>
      <c r="J564"/>
      <c r="K564"/>
      <c r="L564"/>
      <c r="AR564" s="423"/>
      <c r="AS564" s="423"/>
      <c r="AT564" s="245"/>
    </row>
    <row r="565" spans="1:46" ht="13.5">
      <c r="A565"/>
      <c r="B565"/>
      <c r="C565"/>
      <c r="D565"/>
      <c r="E565"/>
      <c r="F565"/>
      <c r="G565"/>
      <c r="H565"/>
      <c r="I565"/>
      <c r="J565"/>
      <c r="K565"/>
      <c r="L565"/>
      <c r="AR565" s="423"/>
      <c r="AS565" s="423"/>
      <c r="AT565" s="245"/>
    </row>
    <row r="566" spans="1:46" ht="13.5">
      <c r="A566"/>
      <c r="B566"/>
      <c r="C566"/>
      <c r="D566"/>
      <c r="E566"/>
      <c r="F566"/>
      <c r="G566"/>
      <c r="H566"/>
      <c r="I566"/>
      <c r="J566"/>
      <c r="K566"/>
      <c r="L566"/>
      <c r="AR566" s="423"/>
      <c r="AS566" s="423"/>
      <c r="AT566" s="245"/>
    </row>
    <row r="567" spans="1:46" ht="13.5">
      <c r="A567"/>
      <c r="B567"/>
      <c r="C567"/>
      <c r="D567"/>
      <c r="E567"/>
      <c r="F567"/>
      <c r="G567"/>
      <c r="H567"/>
      <c r="I567"/>
      <c r="J567"/>
      <c r="K567"/>
      <c r="L567"/>
      <c r="AR567" s="423"/>
      <c r="AS567" s="423"/>
      <c r="AT567" s="245"/>
    </row>
    <row r="568" spans="1:46" ht="13.5">
      <c r="A568"/>
      <c r="B568"/>
      <c r="C568"/>
      <c r="D568"/>
      <c r="E568"/>
      <c r="F568"/>
      <c r="G568"/>
      <c r="H568"/>
      <c r="I568"/>
      <c r="J568"/>
      <c r="K568"/>
      <c r="L568"/>
      <c r="AR568" s="423"/>
      <c r="AS568" s="423"/>
      <c r="AT568" s="245"/>
    </row>
    <row r="569" spans="1:46" ht="13.5">
      <c r="A569"/>
      <c r="B569"/>
      <c r="C569"/>
      <c r="D569"/>
      <c r="E569"/>
      <c r="F569"/>
      <c r="G569"/>
      <c r="H569"/>
      <c r="I569"/>
      <c r="J569"/>
      <c r="K569"/>
      <c r="L569"/>
      <c r="AR569" s="423"/>
      <c r="AS569" s="423"/>
      <c r="AT569" s="245"/>
    </row>
    <row r="570" spans="1:46" ht="13.5">
      <c r="A570"/>
      <c r="B570"/>
      <c r="C570"/>
      <c r="D570"/>
      <c r="E570"/>
      <c r="F570"/>
      <c r="G570"/>
      <c r="H570"/>
      <c r="I570"/>
      <c r="J570"/>
      <c r="K570"/>
      <c r="L570"/>
      <c r="AR570" s="423"/>
      <c r="AS570" s="423"/>
      <c r="AT570" s="245"/>
    </row>
    <row r="571" spans="1:46" ht="13.5">
      <c r="A571"/>
      <c r="B571"/>
      <c r="C571"/>
      <c r="D571"/>
      <c r="E571"/>
      <c r="F571"/>
      <c r="G571"/>
      <c r="H571"/>
      <c r="I571"/>
      <c r="J571"/>
      <c r="K571"/>
      <c r="L571"/>
      <c r="AR571" s="423"/>
      <c r="AS571" s="423"/>
      <c r="AT571" s="245"/>
    </row>
    <row r="572" spans="1:46" ht="13.5">
      <c r="A572"/>
      <c r="B572"/>
      <c r="C572"/>
      <c r="D572"/>
      <c r="E572"/>
      <c r="F572"/>
      <c r="G572"/>
      <c r="H572"/>
      <c r="I572"/>
      <c r="J572"/>
      <c r="K572"/>
      <c r="L572"/>
      <c r="AR572" s="423"/>
      <c r="AS572" s="423"/>
      <c r="AT572" s="245"/>
    </row>
    <row r="573" spans="1:46" ht="13.5">
      <c r="A573"/>
      <c r="B573"/>
      <c r="C573"/>
      <c r="D573"/>
      <c r="E573"/>
      <c r="F573"/>
      <c r="G573"/>
      <c r="H573"/>
      <c r="I573"/>
      <c r="J573"/>
      <c r="K573"/>
      <c r="L573"/>
      <c r="AR573" s="423"/>
      <c r="AS573" s="423"/>
      <c r="AT573" s="245"/>
    </row>
    <row r="574" spans="1:46" ht="13.5">
      <c r="A574"/>
      <c r="B574"/>
      <c r="C574"/>
      <c r="D574"/>
      <c r="E574"/>
      <c r="F574"/>
      <c r="G574"/>
      <c r="H574"/>
      <c r="I574"/>
      <c r="J574"/>
      <c r="K574"/>
      <c r="L574"/>
      <c r="AR574" s="423"/>
      <c r="AS574" s="423"/>
      <c r="AT574" s="245"/>
    </row>
    <row r="575" spans="1:46" ht="13.5">
      <c r="A575"/>
      <c r="B575"/>
      <c r="C575"/>
      <c r="D575"/>
      <c r="E575"/>
      <c r="F575"/>
      <c r="G575"/>
      <c r="H575"/>
      <c r="I575"/>
      <c r="J575"/>
      <c r="K575"/>
      <c r="L575"/>
      <c r="AR575" s="423"/>
      <c r="AS575" s="423"/>
      <c r="AT575" s="245"/>
    </row>
    <row r="576" spans="1:46" ht="13.5">
      <c r="A576"/>
      <c r="B576"/>
      <c r="C576"/>
      <c r="D576"/>
      <c r="E576"/>
      <c r="F576"/>
      <c r="G576"/>
      <c r="H576"/>
      <c r="I576"/>
      <c r="J576"/>
      <c r="K576"/>
      <c r="L576"/>
      <c r="AR576" s="423"/>
      <c r="AS576" s="423"/>
      <c r="AT576" s="245"/>
    </row>
    <row r="577" spans="1:46" ht="13.5">
      <c r="A577"/>
      <c r="B577"/>
      <c r="C577"/>
      <c r="D577"/>
      <c r="E577"/>
      <c r="F577"/>
      <c r="G577"/>
      <c r="H577"/>
      <c r="I577"/>
      <c r="J577"/>
      <c r="K577"/>
      <c r="L577"/>
      <c r="AR577" s="423"/>
      <c r="AS577" s="423"/>
      <c r="AT577" s="245"/>
    </row>
    <row r="578" spans="1:46" ht="13.5">
      <c r="A578"/>
      <c r="B578"/>
      <c r="C578"/>
      <c r="D578"/>
      <c r="E578"/>
      <c r="F578"/>
      <c r="G578"/>
      <c r="H578"/>
      <c r="I578"/>
      <c r="J578"/>
      <c r="K578"/>
      <c r="L578"/>
      <c r="AR578" s="423"/>
      <c r="AS578" s="423"/>
      <c r="AT578" s="245"/>
    </row>
    <row r="579" spans="1:46" ht="13.5">
      <c r="A579"/>
      <c r="B579"/>
      <c r="C579"/>
      <c r="D579"/>
      <c r="E579"/>
      <c r="F579"/>
      <c r="G579"/>
      <c r="H579"/>
      <c r="I579"/>
      <c r="J579"/>
      <c r="K579"/>
      <c r="L579"/>
      <c r="AR579" s="423"/>
      <c r="AS579" s="423"/>
      <c r="AT579" s="245"/>
    </row>
    <row r="580" spans="1:46" ht="13.5">
      <c r="A580"/>
      <c r="B580"/>
      <c r="C580"/>
      <c r="D580"/>
      <c r="E580"/>
      <c r="F580"/>
      <c r="G580"/>
      <c r="H580"/>
      <c r="I580"/>
      <c r="J580"/>
      <c r="K580"/>
      <c r="L580"/>
      <c r="AR580" s="423"/>
      <c r="AS580" s="423"/>
      <c r="AT580" s="245"/>
    </row>
    <row r="581" spans="1:46" ht="13.5">
      <c r="A581"/>
      <c r="B581"/>
      <c r="C581"/>
      <c r="D581"/>
      <c r="E581"/>
      <c r="F581"/>
      <c r="G581"/>
      <c r="H581"/>
      <c r="I581"/>
      <c r="J581"/>
      <c r="K581"/>
      <c r="L581"/>
      <c r="AR581" s="423"/>
      <c r="AS581" s="423"/>
      <c r="AT581" s="245"/>
    </row>
    <row r="582" spans="1:46" ht="13.5">
      <c r="A582"/>
      <c r="B582"/>
      <c r="C582"/>
      <c r="D582"/>
      <c r="E582"/>
      <c r="F582"/>
      <c r="G582"/>
      <c r="H582"/>
      <c r="I582"/>
      <c r="J582"/>
      <c r="K582"/>
      <c r="L582"/>
      <c r="AR582" s="423"/>
      <c r="AS582" s="423"/>
      <c r="AT582" s="245"/>
    </row>
    <row r="583" spans="1:46" ht="13.5">
      <c r="A583"/>
      <c r="B583"/>
      <c r="C583"/>
      <c r="D583"/>
      <c r="E583"/>
      <c r="F583"/>
      <c r="G583"/>
      <c r="H583"/>
      <c r="I583"/>
      <c r="J583"/>
      <c r="K583"/>
      <c r="L583"/>
      <c r="AR583" s="423"/>
      <c r="AS583" s="423"/>
      <c r="AT583" s="245"/>
    </row>
    <row r="584" spans="1:46" ht="13.5">
      <c r="A584"/>
      <c r="B584"/>
      <c r="C584"/>
      <c r="D584"/>
      <c r="E584"/>
      <c r="F584"/>
      <c r="G584"/>
      <c r="H584"/>
      <c r="I584"/>
      <c r="J584"/>
      <c r="K584"/>
      <c r="L584"/>
      <c r="AR584" s="423"/>
      <c r="AS584" s="423"/>
      <c r="AT584" s="245"/>
    </row>
    <row r="585" spans="1:46" ht="13.5">
      <c r="A585"/>
      <c r="B585"/>
      <c r="C585"/>
      <c r="D585"/>
      <c r="E585"/>
      <c r="F585"/>
      <c r="G585"/>
      <c r="H585"/>
      <c r="I585"/>
      <c r="J585"/>
      <c r="K585"/>
      <c r="L585"/>
      <c r="AR585" s="423"/>
      <c r="AS585" s="423"/>
      <c r="AT585" s="245"/>
    </row>
    <row r="586" spans="1:46" ht="13.5">
      <c r="A586"/>
      <c r="B586"/>
      <c r="C586"/>
      <c r="D586"/>
      <c r="E586"/>
      <c r="F586"/>
      <c r="G586"/>
      <c r="H586"/>
      <c r="I586"/>
      <c r="J586"/>
      <c r="K586"/>
      <c r="L586"/>
      <c r="AR586" s="423"/>
      <c r="AS586" s="423"/>
      <c r="AT586" s="245"/>
    </row>
    <row r="587" spans="1:46" ht="13.5">
      <c r="A587"/>
      <c r="B587"/>
      <c r="C587"/>
      <c r="D587"/>
      <c r="E587"/>
      <c r="F587"/>
      <c r="G587"/>
      <c r="H587"/>
      <c r="I587"/>
      <c r="J587"/>
      <c r="K587"/>
      <c r="L587"/>
      <c r="AR587" s="423"/>
      <c r="AS587" s="423"/>
      <c r="AT587" s="245"/>
    </row>
    <row r="588" spans="1:46" ht="13.5">
      <c r="A588"/>
      <c r="B588"/>
      <c r="C588"/>
      <c r="D588"/>
      <c r="E588"/>
      <c r="F588"/>
      <c r="G588"/>
      <c r="H588"/>
      <c r="I588"/>
      <c r="J588"/>
      <c r="K588"/>
      <c r="L588"/>
      <c r="AR588" s="423"/>
      <c r="AS588" s="423"/>
      <c r="AT588" s="245"/>
    </row>
    <row r="589" spans="1:46" ht="13.5">
      <c r="A589"/>
      <c r="B589"/>
      <c r="C589"/>
      <c r="D589"/>
      <c r="E589"/>
      <c r="F589"/>
      <c r="G589"/>
      <c r="H589"/>
      <c r="I589"/>
      <c r="J589"/>
      <c r="K589"/>
      <c r="L589"/>
      <c r="AR589" s="423"/>
      <c r="AS589" s="423"/>
      <c r="AT589" s="245"/>
    </row>
    <row r="590" spans="1:46" ht="13.5">
      <c r="A590"/>
      <c r="B590"/>
      <c r="C590"/>
      <c r="D590"/>
      <c r="E590"/>
      <c r="F590"/>
      <c r="G590"/>
      <c r="H590"/>
      <c r="I590"/>
      <c r="J590"/>
      <c r="K590"/>
      <c r="L590"/>
      <c r="AR590" s="423"/>
      <c r="AS590" s="423"/>
      <c r="AT590" s="245"/>
    </row>
    <row r="591" spans="1:46" ht="13.5">
      <c r="A591"/>
      <c r="B591"/>
      <c r="C591"/>
      <c r="D591"/>
      <c r="E591"/>
      <c r="F591"/>
      <c r="G591"/>
      <c r="H591"/>
      <c r="I591"/>
      <c r="J591"/>
      <c r="K591"/>
      <c r="L591"/>
      <c r="AR591" s="423"/>
      <c r="AS591" s="423"/>
      <c r="AT591" s="245"/>
    </row>
    <row r="592" spans="1:46" ht="13.5">
      <c r="A592"/>
      <c r="B592"/>
      <c r="C592"/>
      <c r="D592"/>
      <c r="E592"/>
      <c r="F592"/>
      <c r="G592"/>
      <c r="H592"/>
      <c r="I592"/>
      <c r="J592"/>
      <c r="K592"/>
      <c r="L592"/>
      <c r="AR592" s="423"/>
      <c r="AS592" s="423"/>
      <c r="AT592" s="245"/>
    </row>
    <row r="593" spans="1:46" ht="13.5">
      <c r="A593"/>
      <c r="B593"/>
      <c r="C593"/>
      <c r="D593"/>
      <c r="E593"/>
      <c r="F593"/>
      <c r="G593"/>
      <c r="H593"/>
      <c r="I593"/>
      <c r="J593"/>
      <c r="K593"/>
      <c r="L593"/>
      <c r="AR593" s="423"/>
      <c r="AS593" s="423"/>
      <c r="AT593" s="245"/>
    </row>
    <row r="594" spans="1:46" ht="13.5">
      <c r="A594"/>
      <c r="B594"/>
      <c r="C594"/>
      <c r="D594"/>
      <c r="E594"/>
      <c r="F594"/>
      <c r="G594"/>
      <c r="H594"/>
      <c r="I594"/>
      <c r="J594"/>
      <c r="K594"/>
      <c r="L594"/>
      <c r="AR594" s="423"/>
      <c r="AS594" s="423"/>
      <c r="AT594" s="245"/>
    </row>
    <row r="595" spans="1:46" ht="13.5">
      <c r="A595"/>
      <c r="B595"/>
      <c r="C595"/>
      <c r="D595"/>
      <c r="E595"/>
      <c r="F595"/>
      <c r="G595"/>
      <c r="H595"/>
      <c r="I595"/>
      <c r="J595"/>
      <c r="K595"/>
      <c r="L595"/>
      <c r="AR595" s="423"/>
      <c r="AS595" s="423"/>
      <c r="AT595" s="245"/>
    </row>
    <row r="596" spans="1:46" ht="13.5">
      <c r="A596"/>
      <c r="B596"/>
      <c r="C596"/>
      <c r="D596"/>
      <c r="E596"/>
      <c r="F596"/>
      <c r="G596"/>
      <c r="H596"/>
      <c r="I596"/>
      <c r="J596"/>
      <c r="K596"/>
      <c r="L596"/>
      <c r="AR596" s="423"/>
      <c r="AS596" s="423"/>
      <c r="AT596" s="245"/>
    </row>
    <row r="597" spans="1:46" ht="13.5">
      <c r="A597"/>
      <c r="B597"/>
      <c r="C597"/>
      <c r="D597"/>
      <c r="E597"/>
      <c r="F597"/>
      <c r="G597"/>
      <c r="H597"/>
      <c r="I597"/>
      <c r="J597"/>
      <c r="K597"/>
      <c r="L597"/>
      <c r="AR597" s="423"/>
      <c r="AS597" s="423"/>
      <c r="AT597" s="245"/>
    </row>
    <row r="598" spans="1:46" ht="13.5">
      <c r="A598"/>
      <c r="B598"/>
      <c r="C598"/>
      <c r="D598"/>
      <c r="E598"/>
      <c r="F598"/>
      <c r="G598"/>
      <c r="H598"/>
      <c r="I598"/>
      <c r="J598"/>
      <c r="K598"/>
      <c r="L598"/>
      <c r="AR598" s="423"/>
      <c r="AS598" s="423"/>
      <c r="AT598" s="245"/>
    </row>
    <row r="599" spans="1:46" ht="13.5">
      <c r="A599"/>
      <c r="B599"/>
      <c r="C599"/>
      <c r="D599"/>
      <c r="E599"/>
      <c r="F599"/>
      <c r="G599"/>
      <c r="H599"/>
      <c r="I599"/>
      <c r="J599"/>
      <c r="K599"/>
      <c r="L599"/>
      <c r="AR599" s="423"/>
      <c r="AS599" s="423"/>
      <c r="AT599" s="245"/>
    </row>
    <row r="600" spans="1:46" ht="13.5">
      <c r="A600"/>
      <c r="B600"/>
      <c r="C600"/>
      <c r="D600"/>
      <c r="E600"/>
      <c r="F600"/>
      <c r="G600"/>
      <c r="H600"/>
      <c r="I600"/>
      <c r="J600"/>
      <c r="K600"/>
      <c r="L600"/>
      <c r="AR600" s="423"/>
      <c r="AS600" s="423"/>
      <c r="AT600" s="245"/>
    </row>
    <row r="601" spans="1:46" ht="13.5">
      <c r="A601"/>
      <c r="B601"/>
      <c r="C601"/>
      <c r="D601"/>
      <c r="E601"/>
      <c r="F601"/>
      <c r="G601"/>
      <c r="H601"/>
      <c r="I601"/>
      <c r="J601"/>
      <c r="K601"/>
      <c r="L601"/>
      <c r="AR601" s="423"/>
      <c r="AS601" s="423"/>
      <c r="AT601" s="245"/>
    </row>
    <row r="602" spans="1:46" ht="13.5">
      <c r="A602"/>
      <c r="B602"/>
      <c r="C602"/>
      <c r="D602"/>
      <c r="E602"/>
      <c r="F602"/>
      <c r="G602"/>
      <c r="H602"/>
      <c r="I602"/>
      <c r="J602"/>
      <c r="K602"/>
      <c r="L602"/>
      <c r="AR602" s="423"/>
      <c r="AS602" s="423"/>
      <c r="AT602" s="245"/>
    </row>
    <row r="603" spans="1:46" ht="13.5">
      <c r="A603"/>
      <c r="B603"/>
      <c r="C603"/>
      <c r="D603"/>
      <c r="E603"/>
      <c r="F603"/>
      <c r="G603"/>
      <c r="H603"/>
      <c r="I603"/>
      <c r="J603"/>
      <c r="K603"/>
      <c r="L603"/>
      <c r="AR603" s="423"/>
      <c r="AS603" s="423"/>
      <c r="AT603" s="245"/>
    </row>
    <row r="604" spans="1:46" ht="13.5">
      <c r="A604"/>
      <c r="B604"/>
      <c r="C604"/>
      <c r="D604"/>
      <c r="E604"/>
      <c r="F604"/>
      <c r="G604"/>
      <c r="H604"/>
      <c r="I604"/>
      <c r="J604"/>
      <c r="K604"/>
      <c r="L604"/>
      <c r="AR604" s="423"/>
      <c r="AS604" s="423"/>
      <c r="AT604" s="245"/>
    </row>
    <row r="605" spans="1:46" ht="13.5">
      <c r="A605"/>
      <c r="B605"/>
      <c r="C605"/>
      <c r="D605"/>
      <c r="E605"/>
      <c r="F605"/>
      <c r="G605"/>
      <c r="H605"/>
      <c r="I605"/>
      <c r="J605"/>
      <c r="K605"/>
      <c r="L605"/>
      <c r="AR605" s="423"/>
      <c r="AS605" s="423"/>
      <c r="AT605" s="245"/>
    </row>
    <row r="606" spans="1:46" ht="13.5">
      <c r="A606"/>
      <c r="B606"/>
      <c r="C606"/>
      <c r="D606"/>
      <c r="E606"/>
      <c r="F606"/>
      <c r="G606"/>
      <c r="H606"/>
      <c r="I606"/>
      <c r="J606"/>
      <c r="K606"/>
      <c r="L606"/>
      <c r="AR606" s="423"/>
      <c r="AS606" s="423"/>
      <c r="AT606" s="245"/>
    </row>
    <row r="607" spans="1:46" ht="13.5">
      <c r="A607"/>
      <c r="B607"/>
      <c r="C607"/>
      <c r="D607"/>
      <c r="E607"/>
      <c r="F607"/>
      <c r="G607"/>
      <c r="H607"/>
      <c r="I607"/>
      <c r="J607"/>
      <c r="K607"/>
      <c r="L607"/>
      <c r="AR607" s="423"/>
      <c r="AS607" s="423"/>
      <c r="AT607" s="245"/>
    </row>
    <row r="608" spans="1:46" ht="13.5">
      <c r="A608"/>
      <c r="B608"/>
      <c r="C608"/>
      <c r="D608"/>
      <c r="E608"/>
      <c r="F608"/>
      <c r="G608"/>
      <c r="H608"/>
      <c r="I608"/>
      <c r="J608"/>
      <c r="K608"/>
      <c r="L608"/>
      <c r="AR608" s="423"/>
      <c r="AS608" s="423"/>
      <c r="AT608" s="245"/>
    </row>
    <row r="609" spans="1:46" ht="13.5">
      <c r="A609"/>
      <c r="B609"/>
      <c r="C609"/>
      <c r="D609"/>
      <c r="E609"/>
      <c r="F609"/>
      <c r="G609"/>
      <c r="H609"/>
      <c r="I609"/>
      <c r="J609"/>
      <c r="K609"/>
      <c r="L609"/>
      <c r="AR609" s="423"/>
      <c r="AS609" s="423"/>
      <c r="AT609" s="245"/>
    </row>
    <row r="610" spans="1:46" ht="13.5">
      <c r="A610"/>
      <c r="B610"/>
      <c r="C610"/>
      <c r="D610"/>
      <c r="E610"/>
      <c r="F610"/>
      <c r="G610"/>
      <c r="H610"/>
      <c r="I610"/>
      <c r="J610"/>
      <c r="K610"/>
      <c r="L610"/>
      <c r="AR610" s="423"/>
      <c r="AS610" s="423"/>
      <c r="AT610" s="245"/>
    </row>
    <row r="611" spans="1:46" ht="13.5">
      <c r="A611"/>
      <c r="B611"/>
      <c r="C611"/>
      <c r="D611"/>
      <c r="E611"/>
      <c r="F611"/>
      <c r="G611"/>
      <c r="H611"/>
      <c r="I611"/>
      <c r="J611"/>
      <c r="K611"/>
      <c r="L611"/>
      <c r="AR611" s="423"/>
      <c r="AS611" s="423"/>
      <c r="AT611" s="245"/>
    </row>
    <row r="612" spans="1:46" ht="13.5">
      <c r="A612"/>
      <c r="B612"/>
      <c r="C612"/>
      <c r="D612"/>
      <c r="E612"/>
      <c r="F612"/>
      <c r="G612"/>
      <c r="H612"/>
      <c r="I612"/>
      <c r="J612"/>
      <c r="K612"/>
      <c r="L612"/>
      <c r="AR612" s="423"/>
      <c r="AS612" s="423"/>
      <c r="AT612" s="245"/>
    </row>
    <row r="613" spans="1:46" ht="13.5">
      <c r="A613"/>
      <c r="B613"/>
      <c r="C613"/>
      <c r="D613"/>
      <c r="E613"/>
      <c r="F613"/>
      <c r="G613"/>
      <c r="H613"/>
      <c r="I613"/>
      <c r="J613"/>
      <c r="K613"/>
      <c r="L613"/>
      <c r="AR613" s="423"/>
      <c r="AS613" s="423"/>
      <c r="AT613" s="245"/>
    </row>
    <row r="614" spans="1:46" ht="13.5">
      <c r="A614"/>
      <c r="B614"/>
      <c r="C614"/>
      <c r="D614"/>
      <c r="E614"/>
      <c r="F614"/>
      <c r="G614"/>
      <c r="H614"/>
      <c r="I614"/>
      <c r="J614"/>
      <c r="K614"/>
      <c r="L614"/>
      <c r="AR614" s="423"/>
      <c r="AS614" s="423"/>
      <c r="AT614" s="245"/>
    </row>
    <row r="615" spans="1:46" ht="13.5">
      <c r="A615"/>
      <c r="B615"/>
      <c r="C615"/>
      <c r="D615"/>
      <c r="E615"/>
      <c r="F615"/>
      <c r="G615"/>
      <c r="H615"/>
      <c r="I615"/>
      <c r="J615"/>
      <c r="K615"/>
      <c r="L615"/>
      <c r="AR615" s="423"/>
      <c r="AS615" s="423"/>
      <c r="AT615" s="245"/>
    </row>
    <row r="616" spans="1:46" ht="13.5">
      <c r="A616"/>
      <c r="B616"/>
      <c r="C616"/>
      <c r="D616"/>
      <c r="E616"/>
      <c r="F616"/>
      <c r="G616"/>
      <c r="H616"/>
      <c r="I616"/>
      <c r="J616"/>
      <c r="K616"/>
      <c r="L616"/>
      <c r="AR616" s="423"/>
      <c r="AS616" s="423"/>
      <c r="AT616" s="245"/>
    </row>
    <row r="617" spans="1:46" ht="13.5">
      <c r="A617"/>
      <c r="B617"/>
      <c r="C617"/>
      <c r="D617"/>
      <c r="E617"/>
      <c r="F617"/>
      <c r="G617"/>
      <c r="H617"/>
      <c r="I617"/>
      <c r="J617"/>
      <c r="K617"/>
      <c r="L617"/>
      <c r="AR617" s="423"/>
      <c r="AS617" s="423"/>
      <c r="AT617" s="245"/>
    </row>
    <row r="618" spans="1:46" ht="13.5">
      <c r="A618"/>
      <c r="B618"/>
      <c r="C618"/>
      <c r="D618"/>
      <c r="E618"/>
      <c r="F618"/>
      <c r="G618"/>
      <c r="H618"/>
      <c r="I618"/>
      <c r="J618"/>
      <c r="K618"/>
      <c r="L618"/>
      <c r="AR618" s="423"/>
      <c r="AS618" s="423"/>
      <c r="AT618" s="245"/>
    </row>
    <row r="619" spans="1:46" ht="13.5">
      <c r="A619"/>
      <c r="B619"/>
      <c r="C619"/>
      <c r="D619"/>
      <c r="E619"/>
      <c r="F619"/>
      <c r="G619"/>
      <c r="H619"/>
      <c r="I619"/>
      <c r="J619"/>
      <c r="K619"/>
      <c r="L619"/>
      <c r="AR619" s="423"/>
      <c r="AS619" s="423"/>
      <c r="AT619" s="245"/>
    </row>
    <row r="620" spans="1:46" ht="13.5">
      <c r="A620"/>
      <c r="B620"/>
      <c r="C620"/>
      <c r="D620"/>
      <c r="E620"/>
      <c r="F620"/>
      <c r="G620"/>
      <c r="H620"/>
      <c r="I620"/>
      <c r="J620"/>
      <c r="K620"/>
      <c r="L620"/>
      <c r="AR620" s="423"/>
      <c r="AS620" s="423"/>
      <c r="AT620" s="245"/>
    </row>
    <row r="621" spans="1:46" ht="13.5">
      <c r="A621"/>
      <c r="B621"/>
      <c r="C621"/>
      <c r="D621"/>
      <c r="E621"/>
      <c r="F621"/>
      <c r="G621"/>
      <c r="H621"/>
      <c r="I621"/>
      <c r="J621"/>
      <c r="K621"/>
      <c r="L621"/>
      <c r="AR621" s="423"/>
      <c r="AS621" s="423"/>
      <c r="AT621" s="245"/>
    </row>
    <row r="622" spans="1:46" ht="13.5">
      <c r="A622"/>
      <c r="B622"/>
      <c r="C622"/>
      <c r="D622"/>
      <c r="E622"/>
      <c r="F622"/>
      <c r="G622"/>
      <c r="H622"/>
      <c r="I622"/>
      <c r="J622"/>
      <c r="K622"/>
      <c r="L622"/>
      <c r="AR622" s="423"/>
      <c r="AS622" s="423"/>
      <c r="AT622" s="245"/>
    </row>
    <row r="623" spans="1:46" ht="13.5">
      <c r="A623"/>
      <c r="B623"/>
      <c r="C623"/>
      <c r="D623"/>
      <c r="E623"/>
      <c r="F623"/>
      <c r="G623"/>
      <c r="H623"/>
      <c r="I623"/>
      <c r="J623"/>
      <c r="K623"/>
      <c r="L623"/>
      <c r="AR623" s="423"/>
      <c r="AS623" s="423"/>
      <c r="AT623" s="245"/>
    </row>
    <row r="624" spans="1:46" ht="13.5">
      <c r="A624"/>
      <c r="B624"/>
      <c r="C624"/>
      <c r="D624"/>
      <c r="E624"/>
      <c r="F624"/>
      <c r="G624"/>
      <c r="H624"/>
      <c r="I624"/>
      <c r="J624"/>
      <c r="K624"/>
      <c r="L624"/>
      <c r="AR624" s="423"/>
      <c r="AS624" s="423"/>
      <c r="AT624" s="245"/>
    </row>
    <row r="625" spans="1:46" ht="13.5">
      <c r="A625"/>
      <c r="B625"/>
      <c r="C625"/>
      <c r="D625"/>
      <c r="E625"/>
      <c r="F625"/>
      <c r="G625"/>
      <c r="H625"/>
      <c r="I625"/>
      <c r="J625"/>
      <c r="K625"/>
      <c r="L625"/>
      <c r="AR625" s="423"/>
      <c r="AS625" s="423"/>
      <c r="AT625" s="245"/>
    </row>
    <row r="626" spans="1:46" ht="13.5">
      <c r="A626"/>
      <c r="B626"/>
      <c r="C626"/>
      <c r="D626"/>
      <c r="E626"/>
      <c r="F626"/>
      <c r="G626"/>
      <c r="H626"/>
      <c r="I626"/>
      <c r="J626"/>
      <c r="K626"/>
      <c r="L626"/>
      <c r="AR626" s="423"/>
      <c r="AS626" s="423"/>
      <c r="AT626" s="245"/>
    </row>
    <row r="627" spans="1:46" ht="13.5">
      <c r="A627"/>
      <c r="B627"/>
      <c r="C627"/>
      <c r="D627"/>
      <c r="E627"/>
      <c r="F627"/>
      <c r="G627"/>
      <c r="H627"/>
      <c r="I627"/>
      <c r="J627"/>
      <c r="K627"/>
      <c r="L627"/>
      <c r="AR627" s="423"/>
      <c r="AS627" s="423"/>
      <c r="AT627" s="245"/>
    </row>
    <row r="628" spans="1:46" ht="13.5">
      <c r="A628"/>
      <c r="B628"/>
      <c r="C628"/>
      <c r="D628"/>
      <c r="E628"/>
      <c r="F628"/>
      <c r="G628"/>
      <c r="H628"/>
      <c r="I628"/>
      <c r="J628"/>
      <c r="K628"/>
      <c r="L628"/>
      <c r="AR628" s="423"/>
      <c r="AS628" s="423"/>
      <c r="AT628" s="245"/>
    </row>
    <row r="629" spans="1:46" ht="13.5">
      <c r="A629"/>
      <c r="B629"/>
      <c r="C629"/>
      <c r="D629"/>
      <c r="E629"/>
      <c r="F629"/>
      <c r="G629"/>
      <c r="H629"/>
      <c r="I629"/>
      <c r="J629"/>
      <c r="K629"/>
      <c r="L629"/>
      <c r="AR629" s="423"/>
      <c r="AS629" s="423"/>
      <c r="AT629" s="245"/>
    </row>
    <row r="630" spans="1:46" ht="13.5">
      <c r="A630"/>
      <c r="B630"/>
      <c r="C630"/>
      <c r="D630"/>
      <c r="E630"/>
      <c r="F630"/>
      <c r="G630"/>
      <c r="H630"/>
      <c r="I630"/>
      <c r="J630"/>
      <c r="K630"/>
      <c r="L630"/>
      <c r="AR630" s="423"/>
      <c r="AS630" s="423"/>
      <c r="AT630" s="245"/>
    </row>
    <row r="631" spans="1:46" ht="13.5">
      <c r="A631"/>
      <c r="B631"/>
      <c r="C631"/>
      <c r="D631"/>
      <c r="E631"/>
      <c r="F631"/>
      <c r="G631"/>
      <c r="H631"/>
      <c r="I631"/>
      <c r="J631"/>
      <c r="K631"/>
      <c r="L631"/>
      <c r="AR631" s="423"/>
      <c r="AS631" s="423"/>
      <c r="AT631" s="245"/>
    </row>
    <row r="632" spans="1:46" ht="13.5">
      <c r="A632"/>
      <c r="B632"/>
      <c r="C632"/>
      <c r="D632"/>
      <c r="E632"/>
      <c r="F632"/>
      <c r="G632"/>
      <c r="H632"/>
      <c r="I632"/>
      <c r="J632"/>
      <c r="K632"/>
      <c r="L632"/>
      <c r="AR632" s="423"/>
      <c r="AS632" s="423"/>
      <c r="AT632" s="245"/>
    </row>
    <row r="633" spans="1:46" ht="13.5">
      <c r="A633"/>
      <c r="B633"/>
      <c r="C633"/>
      <c r="D633"/>
      <c r="E633"/>
      <c r="F633"/>
      <c r="G633"/>
      <c r="H633"/>
      <c r="I633"/>
      <c r="J633"/>
      <c r="K633"/>
      <c r="L633"/>
      <c r="AR633" s="423"/>
      <c r="AS633" s="423"/>
      <c r="AT633" s="245"/>
    </row>
    <row r="634" spans="1:46" ht="13.5">
      <c r="A634"/>
      <c r="B634"/>
      <c r="C634"/>
      <c r="D634"/>
      <c r="E634"/>
      <c r="F634"/>
      <c r="G634"/>
      <c r="H634"/>
      <c r="I634"/>
      <c r="J634"/>
      <c r="K634"/>
      <c r="L634"/>
      <c r="AR634" s="423"/>
      <c r="AS634" s="423"/>
      <c r="AT634" s="245"/>
    </row>
    <row r="635" spans="1:46" ht="13.5">
      <c r="A635"/>
      <c r="B635"/>
      <c r="C635"/>
      <c r="D635"/>
      <c r="E635"/>
      <c r="F635"/>
      <c r="G635"/>
      <c r="H635"/>
      <c r="I635"/>
      <c r="J635"/>
      <c r="K635"/>
      <c r="L635"/>
      <c r="AR635" s="423"/>
      <c r="AS635" s="423"/>
      <c r="AT635" s="245"/>
    </row>
    <row r="636" spans="1:46" ht="13.5">
      <c r="A636"/>
      <c r="B636"/>
      <c r="C636"/>
      <c r="D636"/>
      <c r="E636"/>
      <c r="F636"/>
      <c r="G636"/>
      <c r="H636"/>
      <c r="I636"/>
      <c r="J636"/>
      <c r="K636"/>
      <c r="L636"/>
      <c r="AR636" s="423"/>
      <c r="AS636" s="423"/>
      <c r="AT636" s="245"/>
    </row>
    <row r="637" spans="1:46" ht="13.5">
      <c r="A637"/>
      <c r="B637"/>
      <c r="C637"/>
      <c r="D637"/>
      <c r="E637"/>
      <c r="F637"/>
      <c r="G637"/>
      <c r="H637"/>
      <c r="I637"/>
      <c r="J637"/>
      <c r="K637"/>
      <c r="L637"/>
      <c r="AR637" s="423"/>
      <c r="AS637" s="423"/>
      <c r="AT637" s="245"/>
    </row>
    <row r="638" spans="1:46" ht="13.5">
      <c r="A638"/>
      <c r="B638"/>
      <c r="C638"/>
      <c r="D638"/>
      <c r="E638"/>
      <c r="F638"/>
      <c r="G638"/>
      <c r="H638"/>
      <c r="I638"/>
      <c r="J638"/>
      <c r="K638"/>
      <c r="L638"/>
      <c r="AR638" s="423"/>
      <c r="AS638" s="423"/>
      <c r="AT638" s="245"/>
    </row>
    <row r="639" spans="1:46" ht="13.5">
      <c r="A639"/>
      <c r="B639"/>
      <c r="C639"/>
      <c r="D639"/>
      <c r="E639"/>
      <c r="F639"/>
      <c r="G639"/>
      <c r="H639"/>
      <c r="I639"/>
      <c r="J639"/>
      <c r="K639"/>
      <c r="L639"/>
      <c r="AR639" s="423"/>
      <c r="AS639" s="423"/>
      <c r="AT639" s="245"/>
    </row>
    <row r="640" spans="1:46" ht="13.5">
      <c r="A640"/>
      <c r="B640"/>
      <c r="C640"/>
      <c r="D640"/>
      <c r="E640"/>
      <c r="F640"/>
      <c r="G640"/>
      <c r="H640"/>
      <c r="I640"/>
      <c r="J640"/>
      <c r="K640"/>
      <c r="L640"/>
      <c r="AR640" s="423"/>
      <c r="AS640" s="423"/>
      <c r="AT640" s="245"/>
    </row>
    <row r="641" spans="1:46" ht="13.5">
      <c r="A641"/>
      <c r="B641"/>
      <c r="C641"/>
      <c r="D641"/>
      <c r="E641"/>
      <c r="F641"/>
      <c r="G641"/>
      <c r="H641"/>
      <c r="I641"/>
      <c r="J641"/>
      <c r="K641"/>
      <c r="L641"/>
      <c r="AR641" s="423"/>
      <c r="AS641" s="423"/>
      <c r="AT641" s="245"/>
    </row>
    <row r="642" spans="1:46" ht="13.5">
      <c r="A642"/>
      <c r="B642"/>
      <c r="C642"/>
      <c r="D642"/>
      <c r="E642"/>
      <c r="F642"/>
      <c r="G642"/>
      <c r="H642"/>
      <c r="I642"/>
      <c r="J642"/>
      <c r="K642"/>
      <c r="L642"/>
      <c r="AR642" s="423"/>
      <c r="AS642" s="423"/>
      <c r="AT642" s="245"/>
    </row>
    <row r="643" spans="1:46" ht="13.5">
      <c r="A643"/>
      <c r="B643"/>
      <c r="C643"/>
      <c r="D643"/>
      <c r="E643"/>
      <c r="F643"/>
      <c r="G643"/>
      <c r="H643"/>
      <c r="I643"/>
      <c r="J643"/>
      <c r="K643"/>
      <c r="L643"/>
      <c r="AR643" s="423"/>
      <c r="AS643" s="423"/>
      <c r="AT643" s="245"/>
    </row>
    <row r="644" spans="1:46" ht="13.5">
      <c r="A644"/>
      <c r="B644"/>
      <c r="C644"/>
      <c r="D644"/>
      <c r="E644"/>
      <c r="F644"/>
      <c r="G644"/>
      <c r="H644"/>
      <c r="I644"/>
      <c r="J644"/>
      <c r="K644"/>
      <c r="L644"/>
      <c r="AR644" s="423"/>
      <c r="AS644" s="423"/>
      <c r="AT644" s="245"/>
    </row>
    <row r="645" spans="1:46" ht="13.5">
      <c r="A645"/>
      <c r="B645"/>
      <c r="C645"/>
      <c r="D645"/>
      <c r="E645"/>
      <c r="F645"/>
      <c r="G645"/>
      <c r="H645"/>
      <c r="I645"/>
      <c r="J645"/>
      <c r="K645"/>
      <c r="L645"/>
      <c r="AR645" s="423"/>
      <c r="AS645" s="423"/>
      <c r="AT645" s="245"/>
    </row>
    <row r="646" spans="1:46" ht="13.5">
      <c r="A646"/>
      <c r="B646"/>
      <c r="C646"/>
      <c r="D646"/>
      <c r="E646"/>
      <c r="F646"/>
      <c r="G646"/>
      <c r="H646"/>
      <c r="I646"/>
      <c r="J646"/>
      <c r="K646"/>
      <c r="L646"/>
      <c r="AR646" s="423"/>
      <c r="AS646" s="423"/>
      <c r="AT646" s="245"/>
    </row>
    <row r="647" spans="1:46" ht="13.5">
      <c r="A647"/>
      <c r="B647"/>
      <c r="C647"/>
      <c r="D647"/>
      <c r="E647"/>
      <c r="F647"/>
      <c r="G647"/>
      <c r="H647"/>
      <c r="I647"/>
      <c r="J647"/>
      <c r="K647"/>
      <c r="L647"/>
      <c r="AR647" s="423"/>
      <c r="AS647" s="423"/>
      <c r="AT647" s="245"/>
    </row>
    <row r="648" spans="1:46" ht="13.5">
      <c r="A648"/>
      <c r="B648"/>
      <c r="C648"/>
      <c r="D648"/>
      <c r="E648"/>
      <c r="F648"/>
      <c r="G648"/>
      <c r="H648"/>
      <c r="I648"/>
      <c r="J648"/>
      <c r="K648"/>
      <c r="L648"/>
      <c r="AR648" s="423"/>
      <c r="AS648" s="423"/>
      <c r="AT648" s="245"/>
    </row>
    <row r="649" spans="1:46" ht="13.5">
      <c r="A649"/>
      <c r="B649"/>
      <c r="C649"/>
      <c r="D649"/>
      <c r="E649"/>
      <c r="F649"/>
      <c r="G649"/>
      <c r="H649"/>
      <c r="I649"/>
      <c r="J649"/>
      <c r="K649"/>
      <c r="L649"/>
      <c r="AR649" s="423"/>
      <c r="AS649" s="423"/>
      <c r="AT649" s="245"/>
    </row>
    <row r="650" spans="1:46" ht="13.5">
      <c r="A650"/>
      <c r="B650"/>
      <c r="C650"/>
      <c r="D650"/>
      <c r="E650"/>
      <c r="F650"/>
      <c r="G650"/>
      <c r="H650"/>
      <c r="I650"/>
      <c r="J650"/>
      <c r="K650"/>
      <c r="L650"/>
      <c r="AR650" s="423"/>
      <c r="AS650" s="423"/>
      <c r="AT650" s="245"/>
    </row>
    <row r="651" spans="1:46" ht="13.5">
      <c r="A651"/>
      <c r="B651"/>
      <c r="C651"/>
      <c r="D651"/>
      <c r="E651"/>
      <c r="F651"/>
      <c r="G651"/>
      <c r="H651"/>
      <c r="I651"/>
      <c r="J651"/>
      <c r="K651"/>
      <c r="L651"/>
      <c r="AR651" s="423"/>
      <c r="AS651" s="423"/>
      <c r="AT651" s="245"/>
    </row>
    <row r="652" spans="1:46" ht="13.5">
      <c r="A652"/>
      <c r="B652"/>
      <c r="C652"/>
      <c r="D652"/>
      <c r="E652"/>
      <c r="F652"/>
      <c r="G652"/>
      <c r="H652"/>
      <c r="I652"/>
      <c r="J652"/>
      <c r="K652"/>
      <c r="L652"/>
      <c r="AR652" s="423"/>
      <c r="AS652" s="423"/>
      <c r="AT652" s="245"/>
    </row>
    <row r="653" spans="1:46" ht="13.5">
      <c r="A653"/>
      <c r="B653"/>
      <c r="C653"/>
      <c r="D653"/>
      <c r="E653"/>
      <c r="F653"/>
      <c r="G653"/>
      <c r="H653"/>
      <c r="I653"/>
      <c r="J653"/>
      <c r="K653"/>
      <c r="L653"/>
      <c r="AR653" s="423"/>
      <c r="AS653" s="423"/>
      <c r="AT653" s="245"/>
    </row>
    <row r="654" spans="1:46" ht="13.5">
      <c r="A654"/>
      <c r="B654"/>
      <c r="C654"/>
      <c r="D654"/>
      <c r="E654"/>
      <c r="F654"/>
      <c r="G654"/>
      <c r="H654"/>
      <c r="I654"/>
      <c r="J654"/>
      <c r="K654"/>
      <c r="L654"/>
      <c r="AR654" s="423"/>
      <c r="AS654" s="423"/>
      <c r="AT654" s="245"/>
    </row>
    <row r="655" spans="1:46" ht="13.5">
      <c r="A655"/>
      <c r="B655"/>
      <c r="C655"/>
      <c r="D655"/>
      <c r="E655"/>
      <c r="F655"/>
      <c r="G655"/>
      <c r="H655"/>
      <c r="I655"/>
      <c r="J655"/>
      <c r="K655"/>
      <c r="L655"/>
      <c r="AR655" s="423"/>
      <c r="AS655" s="423"/>
      <c r="AT655" s="245"/>
    </row>
    <row r="656" spans="1:46" ht="13.5">
      <c r="A656"/>
      <c r="B656"/>
      <c r="C656"/>
      <c r="D656"/>
      <c r="E656"/>
      <c r="F656"/>
      <c r="G656"/>
      <c r="H656"/>
      <c r="I656"/>
      <c r="J656"/>
      <c r="K656"/>
      <c r="L656"/>
      <c r="AR656" s="423"/>
      <c r="AS656" s="423"/>
      <c r="AT656" s="245"/>
    </row>
    <row r="657" spans="1:46" ht="13.5">
      <c r="A657"/>
      <c r="B657"/>
      <c r="C657"/>
      <c r="D657"/>
      <c r="E657"/>
      <c r="F657"/>
      <c r="G657"/>
      <c r="H657"/>
      <c r="I657"/>
      <c r="J657"/>
      <c r="K657"/>
      <c r="L657"/>
      <c r="AR657" s="423"/>
      <c r="AS657" s="423"/>
      <c r="AT657" s="245"/>
    </row>
    <row r="658" spans="1:46" ht="13.5">
      <c r="A658"/>
      <c r="B658"/>
      <c r="C658"/>
      <c r="D658"/>
      <c r="E658"/>
      <c r="F658"/>
      <c r="G658"/>
      <c r="H658"/>
      <c r="I658"/>
      <c r="J658"/>
      <c r="K658"/>
      <c r="L658"/>
      <c r="AR658" s="423"/>
      <c r="AS658" s="423"/>
      <c r="AT658" s="245"/>
    </row>
    <row r="659" spans="1:46" ht="13.5">
      <c r="A659"/>
      <c r="B659"/>
      <c r="C659"/>
      <c r="D659"/>
      <c r="E659"/>
      <c r="F659"/>
      <c r="G659"/>
      <c r="H659"/>
      <c r="I659"/>
      <c r="J659"/>
      <c r="K659"/>
      <c r="L659"/>
      <c r="AR659" s="423"/>
      <c r="AS659" s="423"/>
      <c r="AT659" s="245"/>
    </row>
    <row r="660" spans="1:46" ht="13.5">
      <c r="A660"/>
      <c r="B660"/>
      <c r="C660"/>
      <c r="D660"/>
      <c r="E660"/>
      <c r="F660"/>
      <c r="G660"/>
      <c r="H660"/>
      <c r="I660"/>
      <c r="J660"/>
      <c r="K660"/>
      <c r="L660"/>
      <c r="AR660" s="423"/>
      <c r="AS660" s="423"/>
      <c r="AT660" s="245"/>
    </row>
    <row r="661" spans="1:46" ht="13.5">
      <c r="A661"/>
      <c r="B661"/>
      <c r="C661"/>
      <c r="D661"/>
      <c r="E661"/>
      <c r="F661"/>
      <c r="G661"/>
      <c r="H661"/>
      <c r="I661"/>
      <c r="J661"/>
      <c r="K661"/>
      <c r="L661"/>
      <c r="AR661" s="423"/>
      <c r="AS661" s="423"/>
      <c r="AT661" s="245"/>
    </row>
    <row r="662" spans="1:46" ht="13.5">
      <c r="A662"/>
      <c r="B662"/>
      <c r="C662"/>
      <c r="D662"/>
      <c r="E662"/>
      <c r="F662"/>
      <c r="G662"/>
      <c r="H662"/>
      <c r="I662"/>
      <c r="J662"/>
      <c r="K662"/>
      <c r="L662"/>
      <c r="AR662" s="423"/>
      <c r="AS662" s="423"/>
      <c r="AT662" s="245"/>
    </row>
    <row r="663" spans="1:46" ht="13.5">
      <c r="A663"/>
      <c r="B663"/>
      <c r="C663"/>
      <c r="D663"/>
      <c r="E663"/>
      <c r="F663"/>
      <c r="G663"/>
      <c r="H663"/>
      <c r="I663"/>
      <c r="J663"/>
      <c r="K663"/>
      <c r="L663"/>
      <c r="AR663" s="423"/>
      <c r="AS663" s="423"/>
      <c r="AT663" s="245"/>
    </row>
    <row r="664" spans="1:46" ht="13.5">
      <c r="A664"/>
      <c r="B664"/>
      <c r="C664"/>
      <c r="D664"/>
      <c r="E664"/>
      <c r="F664"/>
      <c r="G664"/>
      <c r="H664"/>
      <c r="I664"/>
      <c r="J664"/>
      <c r="K664"/>
      <c r="L664"/>
      <c r="AR664" s="423"/>
      <c r="AS664" s="423"/>
      <c r="AT664" s="245"/>
    </row>
    <row r="665" spans="1:46" ht="13.5">
      <c r="A665"/>
      <c r="B665"/>
      <c r="C665"/>
      <c r="D665"/>
      <c r="E665"/>
      <c r="F665"/>
      <c r="G665"/>
      <c r="H665"/>
      <c r="I665"/>
      <c r="J665"/>
      <c r="K665"/>
      <c r="L665"/>
      <c r="AR665" s="423"/>
      <c r="AS665" s="423"/>
      <c r="AT665" s="245"/>
    </row>
    <row r="666" spans="1:46" ht="13.5">
      <c r="A666"/>
      <c r="B666"/>
      <c r="C666"/>
      <c r="D666"/>
      <c r="E666"/>
      <c r="F666"/>
      <c r="G666"/>
      <c r="H666"/>
      <c r="I666"/>
      <c r="J666"/>
      <c r="K666"/>
      <c r="L666"/>
      <c r="AR666" s="423"/>
      <c r="AS666" s="423"/>
      <c r="AT666" s="245"/>
    </row>
    <row r="667" spans="1:46" ht="13.5">
      <c r="A667"/>
      <c r="B667"/>
      <c r="C667"/>
      <c r="D667"/>
      <c r="E667"/>
      <c r="F667"/>
      <c r="G667"/>
      <c r="H667"/>
      <c r="I667"/>
      <c r="J667"/>
      <c r="K667"/>
      <c r="L667"/>
      <c r="AR667" s="423"/>
      <c r="AS667" s="423"/>
      <c r="AT667" s="245"/>
    </row>
    <row r="668" spans="1:46" ht="13.5">
      <c r="A668"/>
      <c r="B668"/>
      <c r="C668"/>
      <c r="D668"/>
      <c r="E668"/>
      <c r="F668"/>
      <c r="G668"/>
      <c r="H668"/>
      <c r="I668"/>
      <c r="J668"/>
      <c r="K668"/>
      <c r="L668"/>
      <c r="AR668" s="423"/>
      <c r="AS668" s="423"/>
      <c r="AT668" s="245"/>
    </row>
    <row r="669" spans="1:46" ht="13.5">
      <c r="A669"/>
      <c r="B669"/>
      <c r="C669"/>
      <c r="D669"/>
      <c r="E669"/>
      <c r="F669"/>
      <c r="G669"/>
      <c r="H669"/>
      <c r="I669"/>
      <c r="J669"/>
      <c r="K669"/>
      <c r="L669"/>
      <c r="AR669" s="423"/>
      <c r="AS669" s="423"/>
      <c r="AT669" s="245"/>
    </row>
    <row r="670" spans="1:46" ht="13.5">
      <c r="A670"/>
      <c r="B670"/>
      <c r="C670"/>
      <c r="D670"/>
      <c r="E670"/>
      <c r="F670"/>
      <c r="G670"/>
      <c r="H670"/>
      <c r="I670"/>
      <c r="J670"/>
      <c r="K670"/>
      <c r="L670"/>
      <c r="AR670" s="423"/>
      <c r="AS670" s="423"/>
      <c r="AT670" s="245"/>
    </row>
    <row r="671" spans="1:46" ht="13.5">
      <c r="A671"/>
      <c r="B671"/>
      <c r="C671"/>
      <c r="D671"/>
      <c r="E671"/>
      <c r="F671"/>
      <c r="G671"/>
      <c r="H671"/>
      <c r="I671"/>
      <c r="J671"/>
      <c r="K671"/>
      <c r="L671"/>
      <c r="AR671" s="423"/>
      <c r="AS671" s="423"/>
      <c r="AT671" s="245"/>
    </row>
    <row r="672" spans="1:46" ht="13.5">
      <c r="A672"/>
      <c r="B672"/>
      <c r="C672"/>
      <c r="D672"/>
      <c r="E672"/>
      <c r="F672"/>
      <c r="G672"/>
      <c r="H672"/>
      <c r="I672"/>
      <c r="J672"/>
      <c r="K672"/>
      <c r="L672"/>
      <c r="AR672" s="423"/>
      <c r="AS672" s="423"/>
      <c r="AT672" s="245"/>
    </row>
    <row r="673" spans="1:46" ht="13.5">
      <c r="A673"/>
      <c r="B673"/>
      <c r="C673"/>
      <c r="D673"/>
      <c r="E673"/>
      <c r="F673"/>
      <c r="G673"/>
      <c r="H673"/>
      <c r="I673"/>
      <c r="J673"/>
      <c r="K673"/>
      <c r="L673"/>
      <c r="AR673" s="423"/>
      <c r="AS673" s="423"/>
      <c r="AT673" s="245"/>
    </row>
    <row r="674" spans="1:46" ht="13.5">
      <c r="A674"/>
      <c r="B674"/>
      <c r="C674"/>
      <c r="D674"/>
      <c r="E674"/>
      <c r="F674"/>
      <c r="G674"/>
      <c r="H674"/>
      <c r="I674"/>
      <c r="J674"/>
      <c r="K674"/>
      <c r="L674"/>
      <c r="AR674" s="423"/>
      <c r="AS674" s="423"/>
      <c r="AT674" s="245"/>
    </row>
    <row r="675" spans="44:46" ht="13.5">
      <c r="AR675" s="423"/>
      <c r="AS675" s="423"/>
      <c r="AT675" s="245"/>
    </row>
    <row r="676" spans="44:46" ht="13.5">
      <c r="AR676" s="423"/>
      <c r="AS676" s="423"/>
      <c r="AT676" s="245"/>
    </row>
    <row r="677" spans="44:46" ht="13.5">
      <c r="AR677" s="423"/>
      <c r="AS677" s="423"/>
      <c r="AT677" s="245"/>
    </row>
    <row r="678" spans="44:46" ht="13.5">
      <c r="AR678" s="423"/>
      <c r="AS678" s="423"/>
      <c r="AT678" s="245"/>
    </row>
    <row r="679" spans="44:46" ht="13.5">
      <c r="AR679" s="423"/>
      <c r="AS679" s="423"/>
      <c r="AT679" s="245"/>
    </row>
    <row r="680" spans="44:46" ht="13.5">
      <c r="AR680" s="423"/>
      <c r="AS680" s="423"/>
      <c r="AT680" s="245"/>
    </row>
    <row r="681" spans="44:46" ht="13.5">
      <c r="AR681" s="423"/>
      <c r="AS681" s="423"/>
      <c r="AT681" s="245"/>
    </row>
    <row r="682" spans="44:46" ht="13.5">
      <c r="AR682" s="423"/>
      <c r="AS682" s="423"/>
      <c r="AT682" s="245"/>
    </row>
    <row r="683" spans="44:46" ht="13.5">
      <c r="AR683" s="423"/>
      <c r="AS683" s="423"/>
      <c r="AT683" s="245"/>
    </row>
    <row r="684" spans="44:46" ht="13.5">
      <c r="AR684" s="423"/>
      <c r="AS684" s="423"/>
      <c r="AT684" s="245"/>
    </row>
    <row r="685" spans="44:46" ht="13.5">
      <c r="AR685" s="423"/>
      <c r="AS685" s="423"/>
      <c r="AT685" s="245"/>
    </row>
    <row r="686" spans="44:46" ht="13.5">
      <c r="AR686" s="423"/>
      <c r="AS686" s="423"/>
      <c r="AT686" s="245"/>
    </row>
    <row r="687" spans="44:46" ht="13.5">
      <c r="AR687" s="423"/>
      <c r="AS687" s="423"/>
      <c r="AT687" s="245"/>
    </row>
    <row r="688" spans="44:46" ht="13.5">
      <c r="AR688" s="423"/>
      <c r="AS688" s="423"/>
      <c r="AT688" s="245"/>
    </row>
    <row r="689" spans="44:46" ht="13.5">
      <c r="AR689" s="423"/>
      <c r="AS689" s="423"/>
      <c r="AT689" s="245"/>
    </row>
    <row r="690" spans="44:46" ht="13.5">
      <c r="AR690" s="423"/>
      <c r="AS690" s="423"/>
      <c r="AT690" s="245"/>
    </row>
    <row r="691" spans="44:46" ht="13.5">
      <c r="AR691" s="423"/>
      <c r="AS691" s="423"/>
      <c r="AT691" s="245"/>
    </row>
    <row r="692" spans="44:46" ht="13.5">
      <c r="AR692" s="423"/>
      <c r="AS692" s="423"/>
      <c r="AT692" s="245"/>
    </row>
    <row r="693" spans="44:46" ht="13.5">
      <c r="AR693" s="423"/>
      <c r="AS693" s="423"/>
      <c r="AT693" s="245"/>
    </row>
    <row r="694" spans="44:46" ht="13.5">
      <c r="AR694" s="423"/>
      <c r="AS694" s="423"/>
      <c r="AT694" s="245"/>
    </row>
    <row r="695" spans="44:46" ht="13.5">
      <c r="AR695" s="423"/>
      <c r="AS695" s="423"/>
      <c r="AT695" s="245"/>
    </row>
    <row r="696" spans="44:46" ht="13.5">
      <c r="AR696" s="423"/>
      <c r="AS696" s="423"/>
      <c r="AT696" s="245"/>
    </row>
    <row r="697" spans="44:46" ht="13.5">
      <c r="AR697" s="423"/>
      <c r="AS697" s="423"/>
      <c r="AT697" s="245"/>
    </row>
    <row r="698" spans="44:46" ht="13.5">
      <c r="AR698" s="423"/>
      <c r="AS698" s="423"/>
      <c r="AT698" s="245"/>
    </row>
    <row r="699" spans="44:46" ht="13.5">
      <c r="AR699" s="423"/>
      <c r="AS699" s="423"/>
      <c r="AT699" s="245"/>
    </row>
    <row r="700" spans="44:46" ht="13.5">
      <c r="AR700" s="423"/>
      <c r="AS700" s="423"/>
      <c r="AT700" s="245"/>
    </row>
    <row r="701" spans="44:46" ht="13.5">
      <c r="AR701" s="423"/>
      <c r="AS701" s="423"/>
      <c r="AT701" s="245"/>
    </row>
    <row r="702" spans="44:46" ht="13.5">
      <c r="AR702" s="423"/>
      <c r="AS702" s="423"/>
      <c r="AT702" s="245"/>
    </row>
    <row r="703" spans="44:46" ht="13.5">
      <c r="AR703" s="423"/>
      <c r="AS703" s="423"/>
      <c r="AT703" s="245"/>
    </row>
    <row r="704" spans="44:46" ht="13.5">
      <c r="AR704" s="423"/>
      <c r="AS704" s="423"/>
      <c r="AT704" s="245"/>
    </row>
    <row r="705" spans="44:46" ht="13.5">
      <c r="AR705" s="423"/>
      <c r="AS705" s="423"/>
      <c r="AT705" s="245"/>
    </row>
    <row r="706" spans="44:46" ht="13.5">
      <c r="AR706" s="423"/>
      <c r="AS706" s="423"/>
      <c r="AT706" s="245"/>
    </row>
    <row r="707" spans="44:46" ht="13.5">
      <c r="AR707" s="423"/>
      <c r="AS707" s="423"/>
      <c r="AT707" s="245"/>
    </row>
    <row r="708" spans="44:46" ht="13.5">
      <c r="AR708" s="423"/>
      <c r="AS708" s="423"/>
      <c r="AT708" s="245"/>
    </row>
    <row r="709" spans="44:46" ht="13.5">
      <c r="AR709" s="423"/>
      <c r="AS709" s="423"/>
      <c r="AT709" s="245"/>
    </row>
    <row r="710" spans="44:46" ht="13.5">
      <c r="AR710" s="423"/>
      <c r="AS710" s="423"/>
      <c r="AT710" s="245"/>
    </row>
    <row r="711" spans="44:46" ht="13.5">
      <c r="AR711" s="423"/>
      <c r="AS711" s="423"/>
      <c r="AT711" s="245"/>
    </row>
    <row r="712" spans="44:46" ht="13.5">
      <c r="AR712" s="423"/>
      <c r="AS712" s="423"/>
      <c r="AT712" s="245"/>
    </row>
    <row r="713" spans="44:46" ht="13.5">
      <c r="AR713" s="423"/>
      <c r="AS713" s="423"/>
      <c r="AT713" s="245"/>
    </row>
    <row r="714" spans="44:46" ht="13.5">
      <c r="AR714" s="423"/>
      <c r="AS714" s="423"/>
      <c r="AT714" s="245"/>
    </row>
    <row r="715" spans="44:46" ht="13.5">
      <c r="AR715" s="423"/>
      <c r="AS715" s="423"/>
      <c r="AT715" s="245"/>
    </row>
    <row r="716" spans="44:46" ht="13.5">
      <c r="AR716" s="423"/>
      <c r="AS716" s="423"/>
      <c r="AT716" s="245"/>
    </row>
    <row r="717" spans="44:46" ht="13.5">
      <c r="AR717" s="423"/>
      <c r="AS717" s="423"/>
      <c r="AT717" s="245"/>
    </row>
    <row r="718" spans="44:46" ht="13.5">
      <c r="AR718" s="423"/>
      <c r="AS718" s="423"/>
      <c r="AT718" s="245"/>
    </row>
    <row r="719" spans="44:46" ht="13.5">
      <c r="AR719" s="423"/>
      <c r="AS719" s="423"/>
      <c r="AT719" s="245"/>
    </row>
    <row r="720" spans="44:46" ht="13.5">
      <c r="AR720" s="423"/>
      <c r="AS720" s="423"/>
      <c r="AT720" s="245"/>
    </row>
    <row r="721" spans="44:46" ht="13.5">
      <c r="AR721" s="423"/>
      <c r="AS721" s="423"/>
      <c r="AT721" s="245"/>
    </row>
    <row r="722" spans="44:46" ht="13.5">
      <c r="AR722" s="423"/>
      <c r="AS722" s="423"/>
      <c r="AT722" s="245"/>
    </row>
    <row r="723" spans="44:46" ht="13.5">
      <c r="AR723" s="423"/>
      <c r="AS723" s="423"/>
      <c r="AT723" s="245"/>
    </row>
    <row r="724" spans="44:46" ht="13.5">
      <c r="AR724" s="423"/>
      <c r="AS724" s="423"/>
      <c r="AT724" s="245"/>
    </row>
    <row r="725" spans="44:46" ht="13.5">
      <c r="AR725" s="423"/>
      <c r="AS725" s="423"/>
      <c r="AT725" s="245"/>
    </row>
    <row r="726" spans="44:46" ht="13.5">
      <c r="AR726" s="423"/>
      <c r="AS726" s="423"/>
      <c r="AT726" s="245"/>
    </row>
    <row r="727" spans="44:46" ht="13.5">
      <c r="AR727" s="423"/>
      <c r="AS727" s="423"/>
      <c r="AT727" s="245"/>
    </row>
    <row r="728" spans="44:46" ht="13.5">
      <c r="AR728" s="423"/>
      <c r="AS728" s="423"/>
      <c r="AT728" s="245"/>
    </row>
    <row r="729" spans="44:46" ht="13.5">
      <c r="AR729" s="423"/>
      <c r="AS729" s="423"/>
      <c r="AT729" s="245"/>
    </row>
    <row r="730" spans="44:46" ht="13.5">
      <c r="AR730" s="423"/>
      <c r="AS730" s="423"/>
      <c r="AT730" s="245"/>
    </row>
    <row r="731" spans="44:46" ht="13.5">
      <c r="AR731" s="423"/>
      <c r="AS731" s="423"/>
      <c r="AT731" s="245"/>
    </row>
    <row r="732" spans="44:46" ht="13.5">
      <c r="AR732" s="423"/>
      <c r="AS732" s="423"/>
      <c r="AT732" s="245"/>
    </row>
    <row r="733" spans="44:46" ht="13.5">
      <c r="AR733" s="423"/>
      <c r="AS733" s="423"/>
      <c r="AT733" s="245"/>
    </row>
    <row r="734" spans="44:46" ht="13.5">
      <c r="AR734" s="423"/>
      <c r="AS734" s="423"/>
      <c r="AT734" s="245"/>
    </row>
    <row r="735" spans="44:46" ht="13.5">
      <c r="AR735" s="423"/>
      <c r="AS735" s="423"/>
      <c r="AT735" s="245"/>
    </row>
    <row r="736" spans="44:46" ht="13.5">
      <c r="AR736" s="423"/>
      <c r="AS736" s="423"/>
      <c r="AT736" s="245"/>
    </row>
    <row r="737" spans="44:46" ht="13.5">
      <c r="AR737" s="423"/>
      <c r="AS737" s="423"/>
      <c r="AT737" s="245"/>
    </row>
    <row r="738" spans="44:46" ht="13.5">
      <c r="AR738" s="423"/>
      <c r="AS738" s="423"/>
      <c r="AT738" s="245"/>
    </row>
    <row r="739" spans="44:46" ht="13.5">
      <c r="AR739" s="423"/>
      <c r="AS739" s="423"/>
      <c r="AT739" s="245"/>
    </row>
    <row r="740" spans="44:46" ht="13.5">
      <c r="AR740" s="423"/>
      <c r="AS740" s="423"/>
      <c r="AT740" s="245"/>
    </row>
    <row r="741" spans="44:46" ht="13.5">
      <c r="AR741" s="423"/>
      <c r="AS741" s="423"/>
      <c r="AT741" s="245"/>
    </row>
    <row r="742" spans="44:46" ht="13.5">
      <c r="AR742" s="423"/>
      <c r="AS742" s="423"/>
      <c r="AT742" s="245"/>
    </row>
    <row r="743" spans="44:46" ht="13.5">
      <c r="AR743" s="423"/>
      <c r="AS743" s="423"/>
      <c r="AT743" s="245"/>
    </row>
    <row r="744" spans="44:46" ht="13.5">
      <c r="AR744" s="423"/>
      <c r="AS744" s="423"/>
      <c r="AT744" s="245"/>
    </row>
    <row r="745" spans="44:46" ht="13.5">
      <c r="AR745" s="423"/>
      <c r="AS745" s="423"/>
      <c r="AT745" s="245"/>
    </row>
    <row r="746" spans="44:46" ht="13.5">
      <c r="AR746" s="423"/>
      <c r="AS746" s="423"/>
      <c r="AT746" s="245"/>
    </row>
    <row r="747" spans="44:46" ht="13.5">
      <c r="AR747" s="423"/>
      <c r="AS747" s="423"/>
      <c r="AT747" s="245"/>
    </row>
    <row r="748" spans="44:46" ht="13.5">
      <c r="AR748" s="423"/>
      <c r="AS748" s="423"/>
      <c r="AT748" s="245"/>
    </row>
    <row r="749" spans="44:46" ht="13.5">
      <c r="AR749" s="423"/>
      <c r="AS749" s="423"/>
      <c r="AT749" s="245"/>
    </row>
    <row r="750" spans="44:46" ht="13.5">
      <c r="AR750" s="423"/>
      <c r="AS750" s="423"/>
      <c r="AT750" s="245"/>
    </row>
    <row r="751" spans="44:46" ht="13.5">
      <c r="AR751" s="423"/>
      <c r="AS751" s="423"/>
      <c r="AT751" s="245"/>
    </row>
    <row r="752" spans="44:46" ht="13.5">
      <c r="AR752" s="423"/>
      <c r="AS752" s="423"/>
      <c r="AT752" s="245"/>
    </row>
    <row r="753" spans="44:46" ht="13.5">
      <c r="AR753" s="423"/>
      <c r="AS753" s="423"/>
      <c r="AT753" s="245"/>
    </row>
    <row r="754" spans="44:46" ht="13.5">
      <c r="AR754" s="423"/>
      <c r="AS754" s="423"/>
      <c r="AT754" s="245"/>
    </row>
  </sheetData>
  <sheetProtection/>
  <mergeCells count="54">
    <mergeCell ref="A59:J65"/>
    <mergeCell ref="E28:F28"/>
    <mergeCell ref="AB11:AC12"/>
    <mergeCell ref="J20:K20"/>
    <mergeCell ref="K2:L2"/>
    <mergeCell ref="G3:L3"/>
    <mergeCell ref="E57:F57"/>
    <mergeCell ref="G57:H57"/>
    <mergeCell ref="G41:I41"/>
    <mergeCell ref="AB37:AC37"/>
    <mergeCell ref="A1:B1"/>
    <mergeCell ref="A2:B2"/>
    <mergeCell ref="AB15:AC16"/>
    <mergeCell ref="AB19:AC20"/>
    <mergeCell ref="J8:L9"/>
    <mergeCell ref="J16:L16"/>
    <mergeCell ref="K1:L1"/>
    <mergeCell ref="AB2:AC2"/>
    <mergeCell ref="D3:F3"/>
    <mergeCell ref="AB5:AC5"/>
    <mergeCell ref="AB39:AC39"/>
    <mergeCell ref="AB23:AC24"/>
    <mergeCell ref="AB35:AC35"/>
    <mergeCell ref="AB36:AC36"/>
    <mergeCell ref="AB31:AC32"/>
    <mergeCell ref="AB34:AC34"/>
    <mergeCell ref="AB27:AC28"/>
    <mergeCell ref="AB38:AC38"/>
    <mergeCell ref="E55:F55"/>
    <mergeCell ref="G38:I38"/>
    <mergeCell ref="G39:I39"/>
    <mergeCell ref="G40:I40"/>
    <mergeCell ref="AB40:AC40"/>
    <mergeCell ref="G42:I42"/>
    <mergeCell ref="G43:I43"/>
    <mergeCell ref="AB41:AC41"/>
    <mergeCell ref="AB42:AC42"/>
    <mergeCell ref="AB43:AC43"/>
    <mergeCell ref="K52:L52"/>
    <mergeCell ref="D43:E43"/>
    <mergeCell ref="B53:C53"/>
    <mergeCell ref="E46:F46"/>
    <mergeCell ref="G46:H46"/>
    <mergeCell ref="K47:L47"/>
    <mergeCell ref="G29:I29"/>
    <mergeCell ref="G30:I30"/>
    <mergeCell ref="G31:I31"/>
    <mergeCell ref="G32:I32"/>
    <mergeCell ref="B72:L72"/>
    <mergeCell ref="G34:I34"/>
    <mergeCell ref="G35:I35"/>
    <mergeCell ref="G36:I36"/>
    <mergeCell ref="G37:I37"/>
    <mergeCell ref="H49:J49"/>
  </mergeCells>
  <conditionalFormatting sqref="B3 B6 B44 L30 J17 L46 K53 G1">
    <cfRule type="cellIs" priority="1" dxfId="0" operator="greaterThan" stopIfTrue="1">
      <formula>1</formula>
    </cfRule>
  </conditionalFormatting>
  <dataValidations count="26">
    <dataValidation errorStyle="warning" type="whole" operator="greaterThan" allowBlank="1" errorTitle="Aantal Liters" error="MOET MINSTENS 1 LITER ZIJN !" sqref="B3">
      <formula1>1</formula1>
    </dataValidation>
    <dataValidation errorStyle="information" type="list" showInputMessage="1" showErrorMessage="1" promptTitle="Klik op de pijl" prompt="Aard van het BIER:&#10;D = Eerder Droog&#10;M = Medium&#10;Z = Zachter&#10;1= Eén temp maisch,&#10;geeft droog tot 'leeg' bier" errorTitle="let op" error="D, M, Z of 1 !!" sqref="B5">
      <formula1>"D,M,Z,1"</formula1>
      <formula2>0</formula2>
    </dataValidation>
    <dataValidation allowBlank="1" showInputMessage="1" showErrorMessage="1" prompt="vul in" sqref="B24:C24">
      <formula1>0</formula1>
      <formula2>0</formula2>
    </dataValidation>
    <dataValidation errorStyle="warning" type="decimal" operator="greaterThanOrEqual" allowBlank="1" showErrorMessage="1" error="alleen cijfers toegestaan" sqref="D8:D24">
      <formula1>0</formula1>
    </dataValidation>
    <dataValidation errorStyle="warning" type="whole" showErrorMessage="1" errorTitle="ONLOGISCH" error="MOET tussen 2 en 50°C zijn!" sqref="B6">
      <formula1>2</formula1>
      <formula2>50</formula2>
    </dataValidation>
    <dataValidation errorStyle="warning" allowBlank="1" sqref="K4">
      <formula1>0</formula1>
      <formula2>0</formula2>
    </dataValidation>
    <dataValidation errorStyle="information" type="list" showInputMessage="1" showErrorMessage="1" promptTitle="Klik op de pijl" prompt="Eiwitrust?&#10;J = op 53°C starten&#10;N = direkt naar bèta amylase." errorTitle="let op" error="J of N !!" sqref="E5">
      <formula1>"J,N"</formula1>
      <formula2>0</formula2>
    </dataValidation>
    <dataValidation errorStyle="information" type="list" showInputMessage="1" showErrorMessage="1" promptTitle="Kies:" prompt="BLM = hopbellen (bloemen)&#10;PELL = pellets" errorTitle="let op" error="PELL of BLM" sqref="B36:B41">
      <formula1>"PELL,BLM"</formula1>
      <formula2>0</formula2>
    </dataValidation>
    <dataValidation errorStyle="warning" type="decimal" allowBlank="1" showInputMessage="1" showErrorMessage="1" prompt="Vul het S.G. of de °Plato of °Brix in, na koelen, zonder de gist." errorTitle="Aandacht" error="Onlogische waarde!" sqref="C46">
      <formula1>1</formula1>
      <formula2>1200</formula2>
    </dataValidation>
    <dataValidation errorStyle="warning" allowBlank="1" showErrorMessage="1" sqref="E46">
      <formula1>0</formula1>
      <formula2>0</formula2>
    </dataValidation>
    <dataValidation errorStyle="warning" type="decimal" allowBlank="1" showErrorMessage="1" sqref="D46">
      <formula1>0</formula1>
      <formula2>1200</formula2>
    </dataValidation>
    <dataValidation errorStyle="warning" type="decimal" allowBlank="1" showErrorMessage="1" sqref="G46:H46">
      <formula1>0</formula1>
      <formula2>33</formula2>
    </dataValidation>
    <dataValidation errorStyle="information" type="list" showInputMessage="1" showErrorMessage="1" promptTitle="Klik op de pijl" prompt="Kies een meeteenheid" errorTitle="let op: Niet intypen!" error="Enkel via menu kiezen" sqref="H48:I48">
      <formula1>"°Plato,Brix,S.G."</formula1>
      <formula2>0</formula2>
    </dataValidation>
    <dataValidation errorStyle="warning" type="decimal" allowBlank="1" showErrorMessage="1" errorTitle="Aandacht" error="Onlogische waarde!" sqref="L48 B57">
      <formula1>-3.7</formula1>
      <formula2>1300</formula2>
    </dataValidation>
    <dataValidation errorStyle="information" allowBlank="1" sqref="D36">
      <formula1>0</formula1>
      <formula2>0</formula2>
    </dataValidation>
    <dataValidation type="list" showInputMessage="1" showErrorMessage="1" promptTitle="Klik op pijl, gebr schuifbalk" prompt="&#10;" sqref="B53:C53">
      <formula1>"Kristalsuiker,Dextrose,Rietsuiker"</formula1>
      <formula2>0</formula2>
    </dataValidation>
    <dataValidation type="list" showInputMessage="1" showErrorMessage="1" promptTitle="Klik op de pijl" prompt="J = ja, zelf bepalen&#10;N = volgens resultaten" errorTitle="let op" error="J of N !!" sqref="G53">
      <formula1>"J,N"</formula1>
      <formula2>0</formula2>
    </dataValidation>
    <dataValidation type="list" allowBlank="1" showErrorMessage="1" sqref="A8:A18">
      <formula1>Tabel_Mouten</formula1>
      <formula2>0</formula2>
    </dataValidation>
    <dataValidation type="list" allowBlank="1" showErrorMessage="1" sqref="A19:A23">
      <formula1>tabel_suikers</formula1>
      <formula2>0</formula2>
    </dataValidation>
    <dataValidation type="list" allowBlank="1" showErrorMessage="1" sqref="G35:G43">
      <formula1>tabel_kruiden</formula1>
      <formula2>0</formula2>
    </dataValidation>
    <dataValidation errorStyle="warning" operator="greaterThan" allowBlank="1" errorTitle="Aantal Liters" error="MOET MINSTENS 1 LITER ZIJN !" sqref="J17">
      <formula1>0</formula1>
    </dataValidation>
    <dataValidation type="list" allowBlank="1" showErrorMessage="1" sqref="C48">
      <formula1>"HYGRO,REFRAC"</formula1>
      <formula2>0</formula2>
    </dataValidation>
    <dataValidation type="list" allowBlank="1" showInputMessage="1" showErrorMessage="1" promptTitle="klik op de pijl" prompt="kies een eenheid" sqref="B46">
      <formula1>"°Plato,Brix,S.G."</formula1>
      <formula2>0</formula2>
    </dataValidation>
    <dataValidation type="list" allowBlank="1" showInputMessage="1" showErrorMessage="1" promptTitle="Klik op pijl, gebr schuifbalk" prompt="&#10;" sqref="D3:F3">
      <formula1>tabel_gist</formula1>
    </dataValidation>
    <dataValidation errorStyle="information" type="list" allowBlank="1" showInputMessage="1" showErrorMessage="1" promptTitle="Klik op pijl, gebr schuifbalk" prompt="Raadpleeg eventueel de&#10;tabel in de verborgen&#10;kolommen (hop tabel)&#10;" sqref="A36:A41">
      <formula1>tabel_hop</formula1>
      <formula2>0</formula2>
    </dataValidation>
    <dataValidation errorStyle="warning" type="decimal" allowBlank="1" showInputMessage="1" showErrorMessage="1" promptTitle="beslagdikte" prompt="3 is dik beslag (moeilijk), 3,5 is medium en meest gebruikt, 4,5 is dun en iets droger bier, maar geeft minder rendement." sqref="G1">
      <formula1>2.7</formula1>
      <formula2>6</formula2>
    </dataValidation>
  </dataValidations>
  <printOptions/>
  <pageMargins left="0.73" right="0.35433070866141736" top="0.35433070866141736" bottom="0.31496062992125984" header="0" footer="0.31496062992125984"/>
  <pageSetup orientation="portrait" paperSize="9" r:id="rId4"/>
  <headerFooter alignWithMargins="0">
    <oddFooter>&amp;R&amp;F</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AG279"/>
  <sheetViews>
    <sheetView zoomScalePageLayoutView="0" workbookViewId="0" topLeftCell="I1">
      <pane ySplit="2" topLeftCell="A3" activePane="bottomLeft" state="frozen"/>
      <selection pane="topLeft" activeCell="A1" sqref="A1"/>
      <selection pane="bottomLeft" activeCell="S13" sqref="S13"/>
    </sheetView>
  </sheetViews>
  <sheetFormatPr defaultColWidth="9.140625" defaultRowHeight="12.75"/>
  <cols>
    <col min="1" max="1" width="33.57421875" style="0" customWidth="1"/>
    <col min="2" max="2" width="5.8515625" style="216" customWidth="1"/>
    <col min="3" max="3" width="5.8515625" style="217" customWidth="1"/>
    <col min="4" max="4" width="5.28125" style="216" customWidth="1"/>
    <col min="5" max="5" width="5.28125" style="218" customWidth="1"/>
    <col min="6" max="6" width="4.421875" style="216" customWidth="1"/>
    <col min="7" max="7" width="0.85546875" style="219" customWidth="1"/>
    <col min="8" max="8" width="34.00390625" style="220" customWidth="1"/>
    <col min="9" max="9" width="6.00390625" style="221" customWidth="1"/>
    <col min="10" max="11" width="6.7109375" style="221" customWidth="1"/>
    <col min="12" max="12" width="1.1484375" style="219" customWidth="1"/>
    <col min="13" max="13" width="31.140625" style="220" customWidth="1"/>
    <col min="14" max="14" width="7.140625" style="216" customWidth="1"/>
    <col min="15" max="15" width="5.8515625" style="216" customWidth="1"/>
    <col min="16" max="16" width="6.7109375" style="221" customWidth="1"/>
    <col min="17" max="17" width="1.1484375" style="219" customWidth="1"/>
    <col min="18" max="18" width="31.8515625" style="222" customWidth="1"/>
    <col min="19" max="19" width="5.57421875" style="223" customWidth="1"/>
    <col min="20" max="20" width="75.28125" style="222" customWidth="1"/>
    <col min="21" max="21" width="34.7109375" style="222" customWidth="1"/>
    <col min="22" max="22" width="29.28125" style="222" customWidth="1"/>
    <col min="23" max="23" width="1.421875" style="219" customWidth="1"/>
    <col min="24" max="24" width="31.140625" style="220" customWidth="1"/>
    <col min="25" max="25" width="4.8515625" style="216" customWidth="1"/>
    <col min="26" max="26" width="6.57421875" style="216" customWidth="1"/>
    <col min="27" max="27" width="6.7109375" style="216" customWidth="1"/>
    <col min="28" max="28" width="92.7109375" style="220" customWidth="1"/>
    <col min="29" max="29" width="0.9921875" style="219" customWidth="1"/>
    <col min="30" max="30" width="24.140625" style="220" customWidth="1"/>
    <col min="31" max="31" width="5.421875" style="216" customWidth="1"/>
    <col min="32" max="32" width="58.57421875" style="220" customWidth="1"/>
    <col min="33" max="33" width="0.9921875" style="219" customWidth="1"/>
  </cols>
  <sheetData>
    <row r="1" spans="1:33" s="252" customFormat="1" ht="22.5" customHeight="1">
      <c r="A1" s="252" t="s">
        <v>82</v>
      </c>
      <c r="B1" s="247"/>
      <c r="C1" s="248"/>
      <c r="D1" s="247"/>
      <c r="E1" s="249"/>
      <c r="F1" s="247"/>
      <c r="G1" s="253"/>
      <c r="H1" s="251" t="s">
        <v>83</v>
      </c>
      <c r="I1" s="250"/>
      <c r="J1" s="250"/>
      <c r="K1" s="250"/>
      <c r="L1" s="253"/>
      <c r="M1" s="251" t="s">
        <v>84</v>
      </c>
      <c r="N1" s="247"/>
      <c r="O1" s="247"/>
      <c r="P1" s="250"/>
      <c r="Q1" s="253"/>
      <c r="R1" s="247" t="s">
        <v>85</v>
      </c>
      <c r="S1" s="251"/>
      <c r="T1" s="254"/>
      <c r="U1" s="247"/>
      <c r="V1" s="247"/>
      <c r="W1" s="253"/>
      <c r="X1" s="251" t="s">
        <v>86</v>
      </c>
      <c r="Y1" s="247"/>
      <c r="Z1" s="247"/>
      <c r="AA1" s="247"/>
      <c r="AB1" s="251"/>
      <c r="AC1" s="253"/>
      <c r="AD1" s="255" t="s">
        <v>87</v>
      </c>
      <c r="AE1" s="247"/>
      <c r="AF1" s="251"/>
      <c r="AG1" s="253"/>
    </row>
    <row r="2" spans="1:33" s="228" customFormat="1" ht="52.5" customHeight="1">
      <c r="A2" s="224" t="s">
        <v>88</v>
      </c>
      <c r="B2" s="225" t="s">
        <v>89</v>
      </c>
      <c r="C2" s="226" t="s">
        <v>90</v>
      </c>
      <c r="D2" s="225" t="s">
        <v>91</v>
      </c>
      <c r="E2" s="224" t="s">
        <v>92</v>
      </c>
      <c r="F2" s="225" t="s">
        <v>93</v>
      </c>
      <c r="G2" s="227"/>
      <c r="H2" s="293" t="s">
        <v>609</v>
      </c>
      <c r="I2" s="229" t="s">
        <v>94</v>
      </c>
      <c r="J2" s="229" t="s">
        <v>95</v>
      </c>
      <c r="K2" s="281" t="s">
        <v>635</v>
      </c>
      <c r="L2" s="227"/>
      <c r="M2" s="293" t="s">
        <v>610</v>
      </c>
      <c r="N2" s="225" t="s">
        <v>94</v>
      </c>
      <c r="O2" s="225" t="s">
        <v>95</v>
      </c>
      <c r="P2" s="281" t="s">
        <v>608</v>
      </c>
      <c r="Q2" s="227"/>
      <c r="R2" s="225" t="s">
        <v>96</v>
      </c>
      <c r="S2" s="228" t="s">
        <v>97</v>
      </c>
      <c r="T2" s="225" t="s">
        <v>98</v>
      </c>
      <c r="U2" s="225" t="s">
        <v>99</v>
      </c>
      <c r="V2" s="225" t="s">
        <v>100</v>
      </c>
      <c r="W2" s="227"/>
      <c r="X2" s="228" t="s">
        <v>88</v>
      </c>
      <c r="Y2" s="225" t="s">
        <v>101</v>
      </c>
      <c r="Z2" s="225" t="s">
        <v>102</v>
      </c>
      <c r="AA2" s="225" t="s">
        <v>103</v>
      </c>
      <c r="AB2" s="228" t="s">
        <v>104</v>
      </c>
      <c r="AC2" s="227"/>
      <c r="AD2" s="228" t="s">
        <v>88</v>
      </c>
      <c r="AE2" s="225" t="s">
        <v>33</v>
      </c>
      <c r="AF2" s="228" t="s">
        <v>105</v>
      </c>
      <c r="AG2" s="227"/>
    </row>
    <row r="3" spans="1:32" ht="12.75">
      <c r="A3" t="s">
        <v>106</v>
      </c>
      <c r="B3" s="216">
        <v>16</v>
      </c>
      <c r="C3" s="217">
        <f>IF(ISNUMBER(B3),(1+(B3/(258.6-0.87955*B3)))*1000,"")</f>
        <v>1065.432393615107</v>
      </c>
      <c r="D3" s="216">
        <v>6.8</v>
      </c>
      <c r="E3" s="218">
        <v>14</v>
      </c>
      <c r="F3" s="216">
        <v>24</v>
      </c>
      <c r="H3" s="230" t="s">
        <v>16</v>
      </c>
      <c r="I3" s="231"/>
      <c r="J3" s="231"/>
      <c r="K3" s="231"/>
      <c r="M3" s="230" t="s">
        <v>20</v>
      </c>
      <c r="N3" s="232"/>
      <c r="O3" s="232"/>
      <c r="P3" s="231"/>
      <c r="R3" s="233" t="s">
        <v>43</v>
      </c>
      <c r="S3" s="234"/>
      <c r="T3" s="235"/>
      <c r="U3" s="235"/>
      <c r="V3" s="235"/>
      <c r="X3" s="230" t="s">
        <v>107</v>
      </c>
      <c r="Y3" s="232">
        <v>73</v>
      </c>
      <c r="Z3" s="232">
        <v>106</v>
      </c>
      <c r="AA3" s="232">
        <v>20</v>
      </c>
      <c r="AB3" s="230" t="s">
        <v>108</v>
      </c>
      <c r="AD3" s="230" t="s">
        <v>42</v>
      </c>
      <c r="AE3" s="232" t="s">
        <v>109</v>
      </c>
      <c r="AF3" s="230" t="s">
        <v>109</v>
      </c>
    </row>
    <row r="4" spans="1:32" ht="12.75">
      <c r="A4" t="s">
        <v>110</v>
      </c>
      <c r="B4" s="216">
        <v>18.4</v>
      </c>
      <c r="C4" s="217">
        <f aca="true" t="shared" si="0" ref="C4:C56">IF(ISNUMBER(B4),(1+(B4/(258.6-0.87955*B4)))*1000,"")</f>
        <v>1075.902493017383</v>
      </c>
      <c r="D4" s="216">
        <v>8.3</v>
      </c>
      <c r="E4" s="218">
        <v>13</v>
      </c>
      <c r="F4" s="216">
        <v>31</v>
      </c>
      <c r="H4" s="230" t="s">
        <v>111</v>
      </c>
      <c r="I4" s="231">
        <v>80.07</v>
      </c>
      <c r="J4" s="231">
        <v>3</v>
      </c>
      <c r="K4" s="231">
        <v>100</v>
      </c>
      <c r="M4" s="257" t="s">
        <v>605</v>
      </c>
      <c r="N4" s="232">
        <v>99.5</v>
      </c>
      <c r="O4" s="232">
        <v>0.1</v>
      </c>
      <c r="P4" s="231">
        <v>100</v>
      </c>
      <c r="R4" s="235" t="s">
        <v>112</v>
      </c>
      <c r="S4" s="234">
        <v>14</v>
      </c>
      <c r="T4" s="235" t="s">
        <v>113</v>
      </c>
      <c r="U4" s="235" t="s">
        <v>114</v>
      </c>
      <c r="V4" s="235" t="s">
        <v>115</v>
      </c>
      <c r="X4" s="230" t="s">
        <v>116</v>
      </c>
      <c r="Y4" s="232">
        <v>71</v>
      </c>
      <c r="Z4" s="232">
        <v>107</v>
      </c>
      <c r="AA4" s="232">
        <v>20</v>
      </c>
      <c r="AB4" s="230" t="s">
        <v>117</v>
      </c>
      <c r="AD4" s="230" t="s">
        <v>118</v>
      </c>
      <c r="AE4" s="232" t="s">
        <v>119</v>
      </c>
      <c r="AF4" s="230" t="s">
        <v>120</v>
      </c>
    </row>
    <row r="5" spans="1:32" ht="12.75">
      <c r="A5" t="s">
        <v>121</v>
      </c>
      <c r="B5" s="216">
        <v>14.5</v>
      </c>
      <c r="C5" s="217">
        <f t="shared" si="0"/>
        <v>1058.9798859267992</v>
      </c>
      <c r="D5" s="216">
        <v>6.4</v>
      </c>
      <c r="E5" s="218">
        <v>18</v>
      </c>
      <c r="F5" s="216">
        <v>31</v>
      </c>
      <c r="H5" s="230" t="s">
        <v>122</v>
      </c>
      <c r="I5" s="231">
        <v>83.5</v>
      </c>
      <c r="J5" s="231">
        <v>2.7</v>
      </c>
      <c r="K5" s="231">
        <v>100</v>
      </c>
      <c r="M5" s="230" t="s">
        <v>123</v>
      </c>
      <c r="N5" s="232">
        <v>99.55</v>
      </c>
      <c r="O5" s="232">
        <v>30</v>
      </c>
      <c r="P5" s="231">
        <v>99.5</v>
      </c>
      <c r="R5" s="235" t="s">
        <v>124</v>
      </c>
      <c r="S5" s="234">
        <v>8.2</v>
      </c>
      <c r="T5" s="235" t="s">
        <v>125</v>
      </c>
      <c r="U5" s="235" t="s">
        <v>126</v>
      </c>
      <c r="V5" s="235" t="s">
        <v>127</v>
      </c>
      <c r="X5" s="230" t="s">
        <v>128</v>
      </c>
      <c r="Y5" s="232">
        <v>68</v>
      </c>
      <c r="Z5" s="232">
        <v>106</v>
      </c>
      <c r="AA5" s="232">
        <v>20</v>
      </c>
      <c r="AB5" s="230" t="s">
        <v>129</v>
      </c>
      <c r="AD5" s="230" t="s">
        <v>130</v>
      </c>
      <c r="AE5" s="232" t="s">
        <v>119</v>
      </c>
      <c r="AF5" s="230" t="s">
        <v>131</v>
      </c>
    </row>
    <row r="6" spans="1:32" ht="12.75">
      <c r="A6" t="s">
        <v>132</v>
      </c>
      <c r="B6" s="216">
        <v>15.6</v>
      </c>
      <c r="C6" s="217">
        <f t="shared" si="0"/>
        <v>1063.7049266205001</v>
      </c>
      <c r="D6" s="216">
        <v>6.6</v>
      </c>
      <c r="E6" s="218">
        <v>15</v>
      </c>
      <c r="F6" s="216">
        <v>25</v>
      </c>
      <c r="H6" s="230" t="s">
        <v>133</v>
      </c>
      <c r="I6" s="231">
        <v>75</v>
      </c>
      <c r="J6" s="231">
        <v>4</v>
      </c>
      <c r="K6" s="231">
        <v>100</v>
      </c>
      <c r="M6" s="230" t="s">
        <v>134</v>
      </c>
      <c r="N6" s="232">
        <v>99.55</v>
      </c>
      <c r="O6" s="232">
        <v>10.005021607606587</v>
      </c>
      <c r="P6" s="231">
        <v>100</v>
      </c>
      <c r="R6" s="235" t="s">
        <v>135</v>
      </c>
      <c r="S6" s="234">
        <v>6.4</v>
      </c>
      <c r="T6" s="235" t="s">
        <v>136</v>
      </c>
      <c r="U6" s="235" t="s">
        <v>137</v>
      </c>
      <c r="V6" s="235" t="s">
        <v>138</v>
      </c>
      <c r="X6" s="257" t="s">
        <v>638</v>
      </c>
      <c r="Y6" s="232">
        <v>90</v>
      </c>
      <c r="Z6" s="232">
        <v>107.5</v>
      </c>
      <c r="AA6" s="232" t="s">
        <v>577</v>
      </c>
      <c r="AB6" s="257" t="s">
        <v>578</v>
      </c>
      <c r="AD6" s="230" t="s">
        <v>140</v>
      </c>
      <c r="AE6" s="232" t="s">
        <v>141</v>
      </c>
      <c r="AF6" s="230" t="s">
        <v>142</v>
      </c>
    </row>
    <row r="7" spans="1:32" ht="12.75">
      <c r="A7" t="s">
        <v>143</v>
      </c>
      <c r="B7" s="216">
        <v>16.9</v>
      </c>
      <c r="C7" s="217">
        <f t="shared" si="0"/>
        <v>1069.3374281529364</v>
      </c>
      <c r="D7" s="216">
        <v>8.1</v>
      </c>
      <c r="E7" s="218">
        <v>65</v>
      </c>
      <c r="F7" s="216">
        <v>29</v>
      </c>
      <c r="H7" s="230" t="s">
        <v>144</v>
      </c>
      <c r="I7" s="231">
        <v>80.07</v>
      </c>
      <c r="J7" s="231">
        <v>8</v>
      </c>
      <c r="K7" s="231">
        <v>100</v>
      </c>
      <c r="M7" s="230" t="s">
        <v>145</v>
      </c>
      <c r="N7" s="232">
        <v>68</v>
      </c>
      <c r="O7" s="232">
        <v>100</v>
      </c>
      <c r="P7" s="231">
        <v>93</v>
      </c>
      <c r="R7" s="235" t="s">
        <v>146</v>
      </c>
      <c r="S7" s="234">
        <v>6</v>
      </c>
      <c r="T7" s="235" t="s">
        <v>147</v>
      </c>
      <c r="U7" s="235" t="s">
        <v>148</v>
      </c>
      <c r="V7" s="235" t="s">
        <v>149</v>
      </c>
      <c r="X7" s="257" t="s">
        <v>637</v>
      </c>
      <c r="Y7" s="232">
        <v>69</v>
      </c>
      <c r="Z7" s="232">
        <v>107</v>
      </c>
      <c r="AA7" s="232" t="s">
        <v>139</v>
      </c>
      <c r="AB7" s="257" t="s">
        <v>580</v>
      </c>
      <c r="AD7" s="230" t="s">
        <v>152</v>
      </c>
      <c r="AE7" s="232" t="s">
        <v>119</v>
      </c>
      <c r="AF7" s="230" t="s">
        <v>153</v>
      </c>
    </row>
    <row r="8" spans="1:32" ht="12.75">
      <c r="A8" t="s">
        <v>154</v>
      </c>
      <c r="B8" s="216">
        <v>21.5</v>
      </c>
      <c r="C8" s="217">
        <f t="shared" si="0"/>
        <v>1089.699316418198</v>
      </c>
      <c r="D8" s="216">
        <v>10</v>
      </c>
      <c r="E8" s="218">
        <v>78</v>
      </c>
      <c r="F8" s="216">
        <v>22</v>
      </c>
      <c r="H8" s="230" t="s">
        <v>155</v>
      </c>
      <c r="I8" s="231">
        <v>80.07</v>
      </c>
      <c r="J8" s="231">
        <v>15</v>
      </c>
      <c r="K8" s="231">
        <v>100</v>
      </c>
      <c r="M8" s="230" t="s">
        <v>156</v>
      </c>
      <c r="N8" s="232">
        <v>92.3</v>
      </c>
      <c r="O8" s="232">
        <v>0.1</v>
      </c>
      <c r="P8" s="231">
        <v>100</v>
      </c>
      <c r="R8" s="235" t="s">
        <v>639</v>
      </c>
      <c r="S8" s="234">
        <v>7.5</v>
      </c>
      <c r="T8" s="235" t="s">
        <v>157</v>
      </c>
      <c r="U8" s="235" t="s">
        <v>158</v>
      </c>
      <c r="V8" s="235" t="s">
        <v>159</v>
      </c>
      <c r="X8" s="257" t="s">
        <v>685</v>
      </c>
      <c r="Y8" s="232">
        <v>82</v>
      </c>
      <c r="Z8" s="232">
        <v>107</v>
      </c>
      <c r="AA8" s="232" t="s">
        <v>684</v>
      </c>
      <c r="AB8" s="257" t="s">
        <v>686</v>
      </c>
      <c r="AD8" s="230" t="s">
        <v>162</v>
      </c>
      <c r="AE8" s="232" t="s">
        <v>119</v>
      </c>
      <c r="AF8" s="230" t="s">
        <v>163</v>
      </c>
    </row>
    <row r="9" spans="1:32" ht="12.75">
      <c r="A9" t="s">
        <v>164</v>
      </c>
      <c r="B9" s="216">
        <v>18</v>
      </c>
      <c r="C9" s="217">
        <f t="shared" si="0"/>
        <v>1074.1448320434192</v>
      </c>
      <c r="D9" s="216">
        <v>8.5</v>
      </c>
      <c r="E9" s="218">
        <v>14</v>
      </c>
      <c r="F9" s="216">
        <v>28</v>
      </c>
      <c r="H9" s="230" t="s">
        <v>165</v>
      </c>
      <c r="I9" s="231">
        <v>80</v>
      </c>
      <c r="J9" s="231">
        <v>31.005141973052183</v>
      </c>
      <c r="K9" s="231">
        <v>99.5</v>
      </c>
      <c r="M9" s="257" t="s">
        <v>597</v>
      </c>
      <c r="N9" s="232">
        <v>69</v>
      </c>
      <c r="O9" s="232">
        <v>1</v>
      </c>
      <c r="P9" s="231">
        <v>23</v>
      </c>
      <c r="R9" s="235" t="s">
        <v>640</v>
      </c>
      <c r="S9" s="234">
        <v>8</v>
      </c>
      <c r="T9" s="235" t="s">
        <v>157</v>
      </c>
      <c r="U9" s="235" t="s">
        <v>158</v>
      </c>
      <c r="V9" s="235" t="s">
        <v>159</v>
      </c>
      <c r="X9" s="230" t="s">
        <v>150</v>
      </c>
      <c r="Y9" s="232">
        <v>78</v>
      </c>
      <c r="Z9" s="232">
        <v>107</v>
      </c>
      <c r="AA9" s="232">
        <v>11</v>
      </c>
      <c r="AB9" s="230" t="s">
        <v>151</v>
      </c>
      <c r="AD9" s="230" t="s">
        <v>173</v>
      </c>
      <c r="AE9" s="232" t="s">
        <v>119</v>
      </c>
      <c r="AF9" s="230" t="s">
        <v>174</v>
      </c>
    </row>
    <row r="10" spans="1:32" ht="12.75">
      <c r="A10" t="s">
        <v>175</v>
      </c>
      <c r="B10" s="216">
        <v>19.5</v>
      </c>
      <c r="C10" s="217">
        <f t="shared" si="0"/>
        <v>1080.7624722883766</v>
      </c>
      <c r="D10" s="216">
        <v>8</v>
      </c>
      <c r="E10" s="218">
        <v>12</v>
      </c>
      <c r="F10" s="216">
        <v>20</v>
      </c>
      <c r="H10" s="230" t="s">
        <v>176</v>
      </c>
      <c r="I10" s="231">
        <v>80.07</v>
      </c>
      <c r="J10" s="231">
        <v>49.057338814674104</v>
      </c>
      <c r="K10" s="231">
        <v>99.5</v>
      </c>
      <c r="M10" s="257" t="s">
        <v>596</v>
      </c>
      <c r="N10" s="232">
        <v>69</v>
      </c>
      <c r="O10" s="232">
        <v>1</v>
      </c>
      <c r="P10" s="231">
        <v>70</v>
      </c>
      <c r="R10" s="235" t="s">
        <v>167</v>
      </c>
      <c r="S10" s="234">
        <v>9.5</v>
      </c>
      <c r="T10" s="235" t="s">
        <v>168</v>
      </c>
      <c r="U10" s="235" t="s">
        <v>169</v>
      </c>
      <c r="V10" s="235" t="s">
        <v>170</v>
      </c>
      <c r="X10" s="230" t="s">
        <v>160</v>
      </c>
      <c r="Y10" s="232">
        <v>78</v>
      </c>
      <c r="Z10" s="232">
        <v>107</v>
      </c>
      <c r="AA10" s="232">
        <v>20</v>
      </c>
      <c r="AB10" s="230" t="s">
        <v>161</v>
      </c>
      <c r="AD10" s="230" t="s">
        <v>184</v>
      </c>
      <c r="AE10" s="232" t="s">
        <v>185</v>
      </c>
      <c r="AF10" s="230" t="s">
        <v>186</v>
      </c>
    </row>
    <row r="11" spans="1:32" ht="12.75">
      <c r="A11" t="s">
        <v>187</v>
      </c>
      <c r="B11" s="216">
        <v>14.9</v>
      </c>
      <c r="C11" s="217">
        <f t="shared" si="0"/>
        <v>1060.6937734156018</v>
      </c>
      <c r="D11" s="216">
        <v>7.1</v>
      </c>
      <c r="E11" s="218">
        <v>30</v>
      </c>
      <c r="F11" s="216">
        <v>20</v>
      </c>
      <c r="H11" s="230" t="s">
        <v>188</v>
      </c>
      <c r="I11" s="231">
        <v>70</v>
      </c>
      <c r="J11" s="231">
        <v>58</v>
      </c>
      <c r="K11" s="231">
        <v>99.5</v>
      </c>
      <c r="M11" s="257" t="s">
        <v>598</v>
      </c>
      <c r="N11" s="232">
        <v>69</v>
      </c>
      <c r="O11" s="232">
        <v>1</v>
      </c>
      <c r="P11" s="231">
        <v>87</v>
      </c>
      <c r="R11" s="235" t="s">
        <v>178</v>
      </c>
      <c r="S11" s="234">
        <v>7.5</v>
      </c>
      <c r="T11" s="235" t="s">
        <v>179</v>
      </c>
      <c r="U11" s="235" t="s">
        <v>180</v>
      </c>
      <c r="V11" s="235" t="s">
        <v>181</v>
      </c>
      <c r="X11" s="230" t="s">
        <v>171</v>
      </c>
      <c r="Y11" s="232">
        <v>78</v>
      </c>
      <c r="Z11" s="232">
        <v>107</v>
      </c>
      <c r="AA11" s="232">
        <v>20</v>
      </c>
      <c r="AB11" s="230" t="s">
        <v>172</v>
      </c>
      <c r="AD11" s="230" t="s">
        <v>195</v>
      </c>
      <c r="AE11" s="232" t="s">
        <v>119</v>
      </c>
      <c r="AF11" s="230" t="s">
        <v>196</v>
      </c>
    </row>
    <row r="12" spans="1:32" ht="12.75" customHeight="1">
      <c r="A12" t="s">
        <v>197</v>
      </c>
      <c r="B12" s="216">
        <v>16.9</v>
      </c>
      <c r="C12" s="217">
        <f t="shared" si="0"/>
        <v>1069.3374281529364</v>
      </c>
      <c r="D12" s="216">
        <v>8.2</v>
      </c>
      <c r="E12" s="218">
        <v>17</v>
      </c>
      <c r="F12" s="216">
        <v>35</v>
      </c>
      <c r="H12" s="257" t="s">
        <v>576</v>
      </c>
      <c r="I12" s="231">
        <v>77</v>
      </c>
      <c r="J12" s="231">
        <v>5</v>
      </c>
      <c r="K12" s="231">
        <v>98</v>
      </c>
      <c r="M12" s="257" t="s">
        <v>599</v>
      </c>
      <c r="N12" s="232">
        <v>69</v>
      </c>
      <c r="O12" s="232">
        <v>1</v>
      </c>
      <c r="P12" s="231">
        <v>76</v>
      </c>
      <c r="R12" s="235" t="s">
        <v>574</v>
      </c>
      <c r="S12" s="234">
        <v>13.4</v>
      </c>
      <c r="T12" s="235" t="s">
        <v>571</v>
      </c>
      <c r="U12" s="235" t="s">
        <v>572</v>
      </c>
      <c r="V12" s="235" t="s">
        <v>573</v>
      </c>
      <c r="X12" s="230" t="s">
        <v>182</v>
      </c>
      <c r="Y12" s="232">
        <v>68</v>
      </c>
      <c r="Z12" s="232">
        <v>107</v>
      </c>
      <c r="AA12" s="232">
        <v>20</v>
      </c>
      <c r="AB12" s="230" t="s">
        <v>183</v>
      </c>
      <c r="AD12" s="230" t="s">
        <v>205</v>
      </c>
      <c r="AE12" s="232" t="s">
        <v>141</v>
      </c>
      <c r="AF12" s="230" t="s">
        <v>206</v>
      </c>
    </row>
    <row r="13" spans="1:32" ht="12.75">
      <c r="A13" t="s">
        <v>207</v>
      </c>
      <c r="B13" s="216">
        <v>18.7</v>
      </c>
      <c r="C13" s="217">
        <f t="shared" si="0"/>
        <v>1077.224090455592</v>
      </c>
      <c r="D13" s="216">
        <v>9</v>
      </c>
      <c r="E13" s="218">
        <v>80</v>
      </c>
      <c r="F13" s="216">
        <v>35</v>
      </c>
      <c r="H13" s="230" t="s">
        <v>198</v>
      </c>
      <c r="I13" s="231">
        <v>76</v>
      </c>
      <c r="J13" s="231">
        <v>22</v>
      </c>
      <c r="K13" s="231">
        <v>97</v>
      </c>
      <c r="M13" s="257" t="s">
        <v>600</v>
      </c>
      <c r="N13" s="232">
        <v>69</v>
      </c>
      <c r="O13" s="232">
        <v>1</v>
      </c>
      <c r="P13" s="231">
        <v>97</v>
      </c>
      <c r="R13" s="235" t="s">
        <v>189</v>
      </c>
      <c r="S13" s="234">
        <v>5</v>
      </c>
      <c r="T13" s="235" t="s">
        <v>190</v>
      </c>
      <c r="U13" s="235" t="s">
        <v>191</v>
      </c>
      <c r="V13" s="235" t="s">
        <v>192</v>
      </c>
      <c r="X13" s="257" t="s">
        <v>579</v>
      </c>
      <c r="Y13" s="232">
        <v>75</v>
      </c>
      <c r="Z13" s="232">
        <v>107.5</v>
      </c>
      <c r="AA13" s="232">
        <v>20</v>
      </c>
      <c r="AB13" s="257" t="s">
        <v>580</v>
      </c>
      <c r="AD13" s="230" t="s">
        <v>216</v>
      </c>
      <c r="AE13" s="232" t="s">
        <v>119</v>
      </c>
      <c r="AF13" s="230" t="s">
        <v>217</v>
      </c>
    </row>
    <row r="14" spans="1:32" ht="12.75">
      <c r="A14" t="s">
        <v>218</v>
      </c>
      <c r="B14" s="216">
        <v>13.6</v>
      </c>
      <c r="C14" s="217">
        <f t="shared" si="0"/>
        <v>1055.1415166479537</v>
      </c>
      <c r="D14" s="216">
        <v>6.2</v>
      </c>
      <c r="E14" s="218">
        <v>25</v>
      </c>
      <c r="F14" s="216">
        <v>33</v>
      </c>
      <c r="H14" s="257" t="s">
        <v>664</v>
      </c>
      <c r="I14" s="231">
        <v>76</v>
      </c>
      <c r="J14" s="231">
        <v>35</v>
      </c>
      <c r="K14" s="231">
        <v>95</v>
      </c>
      <c r="M14" s="230" t="s">
        <v>166</v>
      </c>
      <c r="N14" s="232">
        <v>81</v>
      </c>
      <c r="O14" s="232">
        <v>2</v>
      </c>
      <c r="P14" s="231">
        <v>90</v>
      </c>
      <c r="R14" s="235" t="s">
        <v>200</v>
      </c>
      <c r="S14" s="234">
        <v>7.5</v>
      </c>
      <c r="T14" s="235" t="s">
        <v>201</v>
      </c>
      <c r="U14" s="235" t="s">
        <v>202</v>
      </c>
      <c r="V14" s="235" t="s">
        <v>192</v>
      </c>
      <c r="X14" s="230" t="s">
        <v>193</v>
      </c>
      <c r="Y14" s="232">
        <v>68</v>
      </c>
      <c r="Z14" s="232">
        <v>107</v>
      </c>
      <c r="AA14" s="232">
        <v>20</v>
      </c>
      <c r="AB14" s="230" t="s">
        <v>194</v>
      </c>
      <c r="AD14" s="230" t="s">
        <v>227</v>
      </c>
      <c r="AE14" s="232" t="s">
        <v>119</v>
      </c>
      <c r="AF14" s="230" t="s">
        <v>228</v>
      </c>
    </row>
    <row r="15" spans="1:32" ht="12.75">
      <c r="A15" t="s">
        <v>229</v>
      </c>
      <c r="B15" s="216">
        <v>7.5</v>
      </c>
      <c r="C15" s="217">
        <f t="shared" si="0"/>
        <v>1029.7615061703043</v>
      </c>
      <c r="D15" s="216">
        <v>7.8</v>
      </c>
      <c r="E15" s="218">
        <v>40</v>
      </c>
      <c r="F15" s="216">
        <v>18</v>
      </c>
      <c r="H15" s="230" t="s">
        <v>208</v>
      </c>
      <c r="I15" s="231">
        <v>76</v>
      </c>
      <c r="J15" s="231">
        <v>66</v>
      </c>
      <c r="K15" s="231">
        <v>92</v>
      </c>
      <c r="M15" s="230" t="s">
        <v>177</v>
      </c>
      <c r="N15" s="232">
        <v>79</v>
      </c>
      <c r="O15" s="232">
        <v>1.5</v>
      </c>
      <c r="P15" s="231">
        <v>90</v>
      </c>
      <c r="R15" s="235" t="s">
        <v>210</v>
      </c>
      <c r="S15" s="234">
        <v>4</v>
      </c>
      <c r="T15" s="235" t="s">
        <v>211</v>
      </c>
      <c r="U15" s="235" t="s">
        <v>212</v>
      </c>
      <c r="V15" s="235" t="s">
        <v>213</v>
      </c>
      <c r="X15" s="230" t="s">
        <v>203</v>
      </c>
      <c r="Y15" s="232">
        <v>70</v>
      </c>
      <c r="Z15" s="232">
        <v>107</v>
      </c>
      <c r="AA15" s="232">
        <v>21</v>
      </c>
      <c r="AB15" s="230" t="s">
        <v>204</v>
      </c>
      <c r="AD15" s="230" t="s">
        <v>237</v>
      </c>
      <c r="AE15" s="232" t="s">
        <v>119</v>
      </c>
      <c r="AF15" s="230" t="s">
        <v>238</v>
      </c>
    </row>
    <row r="16" spans="1:32" ht="12.75">
      <c r="A16" t="s">
        <v>239</v>
      </c>
      <c r="B16" s="216">
        <v>19</v>
      </c>
      <c r="C16" s="217">
        <f t="shared" si="0"/>
        <v>1078.5485712324953</v>
      </c>
      <c r="D16" s="216">
        <v>9.2</v>
      </c>
      <c r="E16" s="218">
        <v>63</v>
      </c>
      <c r="F16" s="216">
        <v>22</v>
      </c>
      <c r="H16" s="230" t="s">
        <v>219</v>
      </c>
      <c r="I16" s="231">
        <v>75</v>
      </c>
      <c r="J16" s="231">
        <v>120</v>
      </c>
      <c r="K16" s="231">
        <v>93</v>
      </c>
      <c r="M16" s="257" t="s">
        <v>604</v>
      </c>
      <c r="N16" s="232">
        <v>69</v>
      </c>
      <c r="O16" s="232">
        <v>0.1</v>
      </c>
      <c r="P16" s="231">
        <v>100</v>
      </c>
      <c r="R16" s="235" t="s">
        <v>221</v>
      </c>
      <c r="S16" s="234">
        <v>3</v>
      </c>
      <c r="T16" s="235" t="s">
        <v>222</v>
      </c>
      <c r="U16" s="235" t="s">
        <v>223</v>
      </c>
      <c r="V16" s="235" t="s">
        <v>224</v>
      </c>
      <c r="X16" s="230" t="s">
        <v>214</v>
      </c>
      <c r="Y16" s="232">
        <v>72</v>
      </c>
      <c r="Z16" s="232">
        <v>107</v>
      </c>
      <c r="AA16" s="232">
        <v>11</v>
      </c>
      <c r="AB16" s="230" t="s">
        <v>215</v>
      </c>
      <c r="AD16" s="230" t="s">
        <v>247</v>
      </c>
      <c r="AE16" s="232" t="s">
        <v>119</v>
      </c>
      <c r="AF16" s="230" t="s">
        <v>248</v>
      </c>
    </row>
    <row r="17" spans="1:32" ht="12.75">
      <c r="A17" t="s">
        <v>249</v>
      </c>
      <c r="B17" s="216">
        <v>23</v>
      </c>
      <c r="C17" s="217">
        <f t="shared" si="0"/>
        <v>1096.488510420864</v>
      </c>
      <c r="D17" s="216">
        <v>11.3</v>
      </c>
      <c r="E17" s="218">
        <v>90</v>
      </c>
      <c r="F17" s="216">
        <v>27</v>
      </c>
      <c r="H17" s="230" t="s">
        <v>230</v>
      </c>
      <c r="I17" s="231">
        <v>79</v>
      </c>
      <c r="J17" s="231">
        <v>150</v>
      </c>
      <c r="K17" s="231">
        <v>99.2</v>
      </c>
      <c r="M17" s="257" t="s">
        <v>603</v>
      </c>
      <c r="N17" s="232">
        <v>99.7</v>
      </c>
      <c r="O17" s="232">
        <v>0.1</v>
      </c>
      <c r="P17" s="231">
        <v>100</v>
      </c>
      <c r="R17" s="235" t="s">
        <v>231</v>
      </c>
      <c r="S17" s="234">
        <v>4.5</v>
      </c>
      <c r="T17" s="235" t="s">
        <v>232</v>
      </c>
      <c r="U17" s="235" t="s">
        <v>233</v>
      </c>
      <c r="V17" s="235" t="s">
        <v>234</v>
      </c>
      <c r="X17" s="230" t="s">
        <v>225</v>
      </c>
      <c r="Y17" s="232">
        <v>70</v>
      </c>
      <c r="Z17" s="232">
        <v>107</v>
      </c>
      <c r="AA17" s="232">
        <v>20</v>
      </c>
      <c r="AB17" s="230" t="s">
        <v>226</v>
      </c>
      <c r="AD17" s="230" t="s">
        <v>256</v>
      </c>
      <c r="AE17" s="232" t="s">
        <v>141</v>
      </c>
      <c r="AF17" s="230" t="s">
        <v>257</v>
      </c>
    </row>
    <row r="18" spans="1:32" ht="12.75">
      <c r="A18" t="s">
        <v>258</v>
      </c>
      <c r="B18" s="216">
        <v>15.6</v>
      </c>
      <c r="C18" s="217">
        <f t="shared" si="0"/>
        <v>1063.7049266205001</v>
      </c>
      <c r="D18" s="216">
        <v>7.3</v>
      </c>
      <c r="E18" s="218">
        <v>65</v>
      </c>
      <c r="F18" s="216">
        <v>25</v>
      </c>
      <c r="H18" s="230" t="s">
        <v>240</v>
      </c>
      <c r="I18" s="231">
        <v>76</v>
      </c>
      <c r="J18" s="231">
        <v>390</v>
      </c>
      <c r="K18" s="231">
        <v>88</v>
      </c>
      <c r="M18" s="230" t="s">
        <v>70</v>
      </c>
      <c r="N18" s="232">
        <v>100</v>
      </c>
      <c r="O18" s="232">
        <v>0.004500101328458176</v>
      </c>
      <c r="P18" s="231">
        <v>100</v>
      </c>
      <c r="R18" s="235" t="s">
        <v>241</v>
      </c>
      <c r="S18" s="234">
        <v>4.5</v>
      </c>
      <c r="T18" s="235" t="s">
        <v>242</v>
      </c>
      <c r="U18" s="235" t="s">
        <v>243</v>
      </c>
      <c r="V18" s="235" t="s">
        <v>244</v>
      </c>
      <c r="X18" s="230" t="s">
        <v>235</v>
      </c>
      <c r="Y18" s="232">
        <v>81</v>
      </c>
      <c r="Z18" s="232">
        <v>107</v>
      </c>
      <c r="AA18" s="232">
        <v>20</v>
      </c>
      <c r="AB18" s="230" t="s">
        <v>236</v>
      </c>
      <c r="AD18" s="230" t="s">
        <v>268</v>
      </c>
      <c r="AE18" s="232" t="s">
        <v>119</v>
      </c>
      <c r="AF18" s="257" t="s">
        <v>666</v>
      </c>
    </row>
    <row r="19" spans="1:32" ht="12.75" customHeight="1">
      <c r="A19" t="s">
        <v>269</v>
      </c>
      <c r="B19" s="216">
        <v>19.6</v>
      </c>
      <c r="C19" s="217">
        <f t="shared" si="0"/>
        <v>1081.206220628518</v>
      </c>
      <c r="D19" s="216">
        <v>9.6</v>
      </c>
      <c r="E19" s="218">
        <v>15</v>
      </c>
      <c r="F19" s="216">
        <v>39</v>
      </c>
      <c r="H19" s="230" t="s">
        <v>250</v>
      </c>
      <c r="I19" s="231">
        <v>75</v>
      </c>
      <c r="J19" s="231">
        <v>900</v>
      </c>
      <c r="K19" s="231">
        <v>85</v>
      </c>
      <c r="M19" s="257" t="s">
        <v>607</v>
      </c>
      <c r="N19" s="232">
        <v>90</v>
      </c>
      <c r="O19" s="232">
        <v>30</v>
      </c>
      <c r="P19" s="231">
        <v>55</v>
      </c>
      <c r="R19" s="235" t="s">
        <v>251</v>
      </c>
      <c r="S19" s="234">
        <v>6.5</v>
      </c>
      <c r="T19" s="235" t="s">
        <v>252</v>
      </c>
      <c r="U19" s="235" t="s">
        <v>253</v>
      </c>
      <c r="V19" s="235" t="s">
        <v>213</v>
      </c>
      <c r="X19" s="230" t="s">
        <v>245</v>
      </c>
      <c r="Y19" s="232">
        <v>77</v>
      </c>
      <c r="Z19" s="232">
        <v>107</v>
      </c>
      <c r="AA19" s="232">
        <v>11</v>
      </c>
      <c r="AB19" s="230" t="s">
        <v>246</v>
      </c>
      <c r="AD19" s="230" t="s">
        <v>278</v>
      </c>
      <c r="AE19" s="232" t="s">
        <v>119</v>
      </c>
      <c r="AF19" s="230" t="s">
        <v>279</v>
      </c>
    </row>
    <row r="20" spans="1:32" ht="12.75">
      <c r="A20" t="s">
        <v>280</v>
      </c>
      <c r="B20" s="216">
        <v>12.6</v>
      </c>
      <c r="C20" s="217">
        <f t="shared" si="0"/>
        <v>1050.9054565680099</v>
      </c>
      <c r="D20" s="216">
        <v>5.6</v>
      </c>
      <c r="E20" s="218">
        <v>9</v>
      </c>
      <c r="F20" s="216">
        <v>41</v>
      </c>
      <c r="H20" s="230" t="s">
        <v>259</v>
      </c>
      <c r="I20" s="231">
        <v>64.8</v>
      </c>
      <c r="J20" s="231">
        <v>1400</v>
      </c>
      <c r="K20" s="231">
        <v>70</v>
      </c>
      <c r="M20" s="230" t="s">
        <v>199</v>
      </c>
      <c r="N20" s="232">
        <v>90</v>
      </c>
      <c r="O20" s="232">
        <v>30</v>
      </c>
      <c r="P20" s="231">
        <v>55</v>
      </c>
      <c r="Q20" s="219">
        <v>2</v>
      </c>
      <c r="R20" s="235" t="s">
        <v>261</v>
      </c>
      <c r="S20" s="234">
        <v>5.5</v>
      </c>
      <c r="T20" s="235" t="s">
        <v>262</v>
      </c>
      <c r="U20" s="235" t="s">
        <v>263</v>
      </c>
      <c r="V20" s="235" t="s">
        <v>264</v>
      </c>
      <c r="X20" s="230" t="s">
        <v>254</v>
      </c>
      <c r="Y20" s="232">
        <v>78</v>
      </c>
      <c r="Z20" s="232">
        <v>107</v>
      </c>
      <c r="AA20" s="232">
        <v>20</v>
      </c>
      <c r="AB20" s="230" t="s">
        <v>255</v>
      </c>
      <c r="AD20" s="230" t="s">
        <v>289</v>
      </c>
      <c r="AE20" s="232" t="s">
        <v>290</v>
      </c>
      <c r="AF20" s="230" t="s">
        <v>291</v>
      </c>
    </row>
    <row r="21" spans="1:32" ht="12.75">
      <c r="A21" t="s">
        <v>292</v>
      </c>
      <c r="B21" s="216">
        <v>17.6</v>
      </c>
      <c r="C21" s="217">
        <f t="shared" si="0"/>
        <v>1072.3922581086733</v>
      </c>
      <c r="D21" s="216">
        <v>8.3</v>
      </c>
      <c r="E21" s="218">
        <v>72</v>
      </c>
      <c r="F21" s="216">
        <v>35</v>
      </c>
      <c r="H21" s="230" t="s">
        <v>270</v>
      </c>
      <c r="I21" s="231">
        <v>73.58</v>
      </c>
      <c r="J21" s="231">
        <v>4</v>
      </c>
      <c r="K21" s="231">
        <v>100</v>
      </c>
      <c r="M21" s="257" t="s">
        <v>601</v>
      </c>
      <c r="N21" s="232">
        <v>100</v>
      </c>
      <c r="O21" s="232">
        <v>1</v>
      </c>
      <c r="P21" s="231">
        <v>14</v>
      </c>
      <c r="R21" s="235" t="s">
        <v>272</v>
      </c>
      <c r="S21" s="234">
        <v>3.5</v>
      </c>
      <c r="T21" s="235" t="s">
        <v>273</v>
      </c>
      <c r="U21" s="235" t="s">
        <v>274</v>
      </c>
      <c r="V21" s="235" t="s">
        <v>275</v>
      </c>
      <c r="X21" s="230" t="s">
        <v>265</v>
      </c>
      <c r="Y21" s="232">
        <v>66</v>
      </c>
      <c r="Z21" s="232">
        <v>107</v>
      </c>
      <c r="AA21" s="232" t="s">
        <v>266</v>
      </c>
      <c r="AB21" s="230" t="s">
        <v>267</v>
      </c>
      <c r="AD21" s="230" t="s">
        <v>301</v>
      </c>
      <c r="AE21" s="232" t="s">
        <v>119</v>
      </c>
      <c r="AF21" s="230" t="s">
        <v>302</v>
      </c>
    </row>
    <row r="22" spans="1:32" ht="12.75">
      <c r="A22" t="s">
        <v>303</v>
      </c>
      <c r="B22" s="216">
        <v>21.5</v>
      </c>
      <c r="C22" s="217">
        <f t="shared" si="0"/>
        <v>1089.699316418198</v>
      </c>
      <c r="D22" s="216">
        <v>10.2</v>
      </c>
      <c r="E22" s="218">
        <v>79</v>
      </c>
      <c r="F22" s="216">
        <v>38</v>
      </c>
      <c r="H22" s="230" t="s">
        <v>281</v>
      </c>
      <c r="I22" s="231">
        <v>74.58</v>
      </c>
      <c r="J22" s="231">
        <v>1</v>
      </c>
      <c r="K22" s="231">
        <v>100</v>
      </c>
      <c r="M22" s="257" t="s">
        <v>595</v>
      </c>
      <c r="N22" s="232">
        <v>100</v>
      </c>
      <c r="O22" s="232">
        <v>1</v>
      </c>
      <c r="P22" s="231">
        <v>4.5</v>
      </c>
      <c r="R22" s="235" t="s">
        <v>283</v>
      </c>
      <c r="S22" s="234">
        <v>3.7</v>
      </c>
      <c r="T22" s="235" t="s">
        <v>284</v>
      </c>
      <c r="U22" s="235" t="s">
        <v>285</v>
      </c>
      <c r="V22" s="235" t="s">
        <v>286</v>
      </c>
      <c r="X22" s="230" t="s">
        <v>276</v>
      </c>
      <c r="Y22" s="232">
        <v>66</v>
      </c>
      <c r="Z22" s="232">
        <v>107</v>
      </c>
      <c r="AA22" s="232" t="s">
        <v>266</v>
      </c>
      <c r="AB22" s="230" t="s">
        <v>277</v>
      </c>
      <c r="AD22" s="230" t="s">
        <v>311</v>
      </c>
      <c r="AE22" s="232" t="s">
        <v>119</v>
      </c>
      <c r="AF22" s="230" t="s">
        <v>302</v>
      </c>
    </row>
    <row r="23" spans="1:32" ht="12.75">
      <c r="A23" t="s">
        <v>312</v>
      </c>
      <c r="B23" s="216">
        <v>19.2</v>
      </c>
      <c r="C23" s="217">
        <f t="shared" si="0"/>
        <v>1079.4331649350238</v>
      </c>
      <c r="D23" s="216">
        <v>8.9</v>
      </c>
      <c r="E23" s="218">
        <v>25</v>
      </c>
      <c r="F23" s="216">
        <v>30</v>
      </c>
      <c r="H23" s="230" t="s">
        <v>293</v>
      </c>
      <c r="I23" s="231">
        <v>82.8</v>
      </c>
      <c r="J23" s="231">
        <v>0.2</v>
      </c>
      <c r="K23" s="231">
        <v>100</v>
      </c>
      <c r="M23" s="230" t="s">
        <v>260</v>
      </c>
      <c r="N23" s="232">
        <v>99.5</v>
      </c>
      <c r="O23" s="232">
        <v>18</v>
      </c>
      <c r="P23" s="231">
        <v>70</v>
      </c>
      <c r="R23" s="235" t="s">
        <v>295</v>
      </c>
      <c r="S23" s="234">
        <v>14</v>
      </c>
      <c r="T23" s="235" t="s">
        <v>296</v>
      </c>
      <c r="U23" s="235" t="s">
        <v>297</v>
      </c>
      <c r="V23" s="235" t="s">
        <v>298</v>
      </c>
      <c r="X23" s="230" t="s">
        <v>287</v>
      </c>
      <c r="Y23" s="232">
        <v>66</v>
      </c>
      <c r="Z23" s="232">
        <v>107</v>
      </c>
      <c r="AA23" s="232" t="s">
        <v>266</v>
      </c>
      <c r="AB23" s="230" t="s">
        <v>288</v>
      </c>
      <c r="AD23" s="230" t="s">
        <v>320</v>
      </c>
      <c r="AE23" s="232" t="s">
        <v>119</v>
      </c>
      <c r="AF23" s="230" t="s">
        <v>321</v>
      </c>
    </row>
    <row r="24" spans="1:32" ht="12.75">
      <c r="A24" t="s">
        <v>322</v>
      </c>
      <c r="B24" s="216">
        <v>15.8</v>
      </c>
      <c r="C24" s="217">
        <f t="shared" si="0"/>
        <v>1064.5680392047325</v>
      </c>
      <c r="D24" s="216">
        <v>6.8</v>
      </c>
      <c r="E24" s="218">
        <v>18</v>
      </c>
      <c r="F24" s="216">
        <v>18</v>
      </c>
      <c r="H24" s="230" t="s">
        <v>304</v>
      </c>
      <c r="I24" s="231">
        <v>73.58</v>
      </c>
      <c r="J24" s="231">
        <v>3.7</v>
      </c>
      <c r="K24" s="231">
        <v>100</v>
      </c>
      <c r="M24" s="230" t="s">
        <v>271</v>
      </c>
      <c r="N24" s="232">
        <v>99.5</v>
      </c>
      <c r="O24" s="232">
        <v>95</v>
      </c>
      <c r="P24" s="231">
        <v>60</v>
      </c>
      <c r="R24" s="235" t="s">
        <v>306</v>
      </c>
      <c r="S24" s="234">
        <v>15</v>
      </c>
      <c r="T24" s="235" t="s">
        <v>307</v>
      </c>
      <c r="U24" s="235" t="s">
        <v>308</v>
      </c>
      <c r="V24" s="235" t="s">
        <v>213</v>
      </c>
      <c r="X24" s="230" t="s">
        <v>299</v>
      </c>
      <c r="Y24" s="232">
        <v>82</v>
      </c>
      <c r="Z24" s="232">
        <v>107.5</v>
      </c>
      <c r="AA24" s="232">
        <v>20</v>
      </c>
      <c r="AB24" s="230" t="s">
        <v>300</v>
      </c>
      <c r="AD24" s="230" t="s">
        <v>330</v>
      </c>
      <c r="AE24" s="232" t="s">
        <v>290</v>
      </c>
      <c r="AF24" s="230" t="s">
        <v>331</v>
      </c>
    </row>
    <row r="25" spans="1:32" ht="12.75">
      <c r="A25" t="s">
        <v>332</v>
      </c>
      <c r="B25" s="216">
        <v>10.7</v>
      </c>
      <c r="C25" s="217">
        <f t="shared" si="0"/>
        <v>1042.9393269517334</v>
      </c>
      <c r="D25" s="216">
        <v>4.5</v>
      </c>
      <c r="E25" s="218">
        <v>19</v>
      </c>
      <c r="F25" s="216">
        <v>30</v>
      </c>
      <c r="H25" s="230" t="s">
        <v>313</v>
      </c>
      <c r="I25" s="231">
        <v>74</v>
      </c>
      <c r="J25" s="231">
        <v>4</v>
      </c>
      <c r="K25" s="231">
        <v>100</v>
      </c>
      <c r="M25" s="230" t="s">
        <v>282</v>
      </c>
      <c r="N25" s="232">
        <v>99.5</v>
      </c>
      <c r="O25" s="232">
        <v>57</v>
      </c>
      <c r="P25" s="231">
        <v>65</v>
      </c>
      <c r="R25" s="235" t="s">
        <v>314</v>
      </c>
      <c r="S25" s="234">
        <v>15</v>
      </c>
      <c r="T25" s="235" t="s">
        <v>315</v>
      </c>
      <c r="U25" s="235" t="s">
        <v>316</v>
      </c>
      <c r="V25" s="235" t="s">
        <v>317</v>
      </c>
      <c r="X25" s="230" t="s">
        <v>309</v>
      </c>
      <c r="Y25" s="232">
        <v>80</v>
      </c>
      <c r="Z25" s="232">
        <v>107.5</v>
      </c>
      <c r="AA25" s="232">
        <v>20</v>
      </c>
      <c r="AB25" s="230" t="s">
        <v>310</v>
      </c>
      <c r="AD25" s="230" t="s">
        <v>340</v>
      </c>
      <c r="AE25" s="232" t="s">
        <v>119</v>
      </c>
      <c r="AF25" s="230" t="s">
        <v>341</v>
      </c>
    </row>
    <row r="26" spans="1:32" ht="12.75">
      <c r="A26" t="s">
        <v>342</v>
      </c>
      <c r="B26" s="216">
        <v>11.4</v>
      </c>
      <c r="C26" s="217">
        <f t="shared" si="0"/>
        <v>1045.861755049711</v>
      </c>
      <c r="D26" s="216">
        <v>4.8</v>
      </c>
      <c r="E26" s="218">
        <v>4</v>
      </c>
      <c r="F26" s="216">
        <v>38</v>
      </c>
      <c r="H26" s="230" t="s">
        <v>323</v>
      </c>
      <c r="I26" s="231">
        <v>73.58</v>
      </c>
      <c r="J26" s="231">
        <v>4</v>
      </c>
      <c r="K26" s="231">
        <v>100</v>
      </c>
      <c r="M26" s="230" t="s">
        <v>294</v>
      </c>
      <c r="N26" s="232">
        <v>99.5</v>
      </c>
      <c r="O26" s="232">
        <v>8</v>
      </c>
      <c r="P26" s="231">
        <v>75</v>
      </c>
      <c r="R26" s="235" t="s">
        <v>324</v>
      </c>
      <c r="S26" s="234">
        <v>9</v>
      </c>
      <c r="T26" s="235" t="s">
        <v>325</v>
      </c>
      <c r="U26" s="235" t="s">
        <v>326</v>
      </c>
      <c r="V26" s="235" t="s">
        <v>327</v>
      </c>
      <c r="X26" s="230" t="s">
        <v>318</v>
      </c>
      <c r="Y26" s="232">
        <v>82</v>
      </c>
      <c r="Z26" s="232">
        <v>107.5</v>
      </c>
      <c r="AA26" s="232" t="s">
        <v>266</v>
      </c>
      <c r="AB26" s="230" t="s">
        <v>319</v>
      </c>
      <c r="AD26" s="230" t="s">
        <v>349</v>
      </c>
      <c r="AE26" s="232" t="s">
        <v>141</v>
      </c>
      <c r="AF26" s="230" t="s">
        <v>350</v>
      </c>
    </row>
    <row r="27" spans="1:32" ht="12.75">
      <c r="A27" t="s">
        <v>351</v>
      </c>
      <c r="B27" s="216">
        <v>12.8</v>
      </c>
      <c r="C27" s="217">
        <f t="shared" si="0"/>
        <v>1051.7502584278532</v>
      </c>
      <c r="D27" s="216">
        <v>5.4</v>
      </c>
      <c r="E27" s="218">
        <v>9</v>
      </c>
      <c r="F27" s="216">
        <v>15</v>
      </c>
      <c r="H27" s="230" t="s">
        <v>333</v>
      </c>
      <c r="I27" s="231">
        <v>73.58</v>
      </c>
      <c r="J27" s="231">
        <v>4</v>
      </c>
      <c r="K27" s="231">
        <v>100</v>
      </c>
      <c r="M27" s="230" t="s">
        <v>305</v>
      </c>
      <c r="N27" s="232">
        <v>99.5</v>
      </c>
      <c r="O27" s="232">
        <v>79</v>
      </c>
      <c r="P27" s="231">
        <v>75</v>
      </c>
      <c r="R27" s="235" t="s">
        <v>334</v>
      </c>
      <c r="S27" s="234">
        <v>15.6</v>
      </c>
      <c r="T27" s="235" t="s">
        <v>335</v>
      </c>
      <c r="U27" s="235" t="s">
        <v>336</v>
      </c>
      <c r="V27" s="235" t="s">
        <v>337</v>
      </c>
      <c r="X27" s="230" t="s">
        <v>328</v>
      </c>
      <c r="Y27" s="232">
        <v>83</v>
      </c>
      <c r="Z27" s="232">
        <v>107.5</v>
      </c>
      <c r="AA27" s="232">
        <v>20</v>
      </c>
      <c r="AB27" s="230" t="s">
        <v>329</v>
      </c>
      <c r="AD27" s="230" t="s">
        <v>358</v>
      </c>
      <c r="AE27" s="232" t="s">
        <v>185</v>
      </c>
      <c r="AF27" s="230" t="s">
        <v>359</v>
      </c>
    </row>
    <row r="28" spans="1:32" ht="12.75">
      <c r="A28" t="s">
        <v>360</v>
      </c>
      <c r="B28" s="216">
        <v>16.5</v>
      </c>
      <c r="C28" s="217">
        <f t="shared" si="0"/>
        <v>1067.5987302500323</v>
      </c>
      <c r="D28" s="216">
        <v>7.7</v>
      </c>
      <c r="E28" s="218">
        <v>76</v>
      </c>
      <c r="F28" s="216">
        <v>26</v>
      </c>
      <c r="H28" s="230" t="s">
        <v>343</v>
      </c>
      <c r="I28" s="231">
        <v>85</v>
      </c>
      <c r="J28" s="231">
        <v>0.3</v>
      </c>
      <c r="K28" s="231">
        <v>100</v>
      </c>
      <c r="M28" s="230" t="s">
        <v>209</v>
      </c>
      <c r="N28" s="232">
        <v>97.38</v>
      </c>
      <c r="O28" s="232">
        <v>6</v>
      </c>
      <c r="P28" s="231">
        <v>100</v>
      </c>
      <c r="R28" s="235" t="s">
        <v>344</v>
      </c>
      <c r="S28" s="234">
        <v>6</v>
      </c>
      <c r="T28" s="235" t="s">
        <v>345</v>
      </c>
      <c r="U28" s="235" t="s">
        <v>346</v>
      </c>
      <c r="V28" s="235" t="s">
        <v>347</v>
      </c>
      <c r="X28" s="230" t="s">
        <v>338</v>
      </c>
      <c r="Y28" s="232">
        <v>82</v>
      </c>
      <c r="Z28" s="232">
        <v>107.5</v>
      </c>
      <c r="AA28" s="232">
        <v>21</v>
      </c>
      <c r="AB28" s="230" t="s">
        <v>339</v>
      </c>
      <c r="AD28" s="230" t="s">
        <v>368</v>
      </c>
      <c r="AE28" s="232" t="s">
        <v>369</v>
      </c>
      <c r="AF28" s="230" t="s">
        <v>370</v>
      </c>
    </row>
    <row r="29" spans="1:32" ht="12.75">
      <c r="A29" t="s">
        <v>371</v>
      </c>
      <c r="B29" s="216">
        <v>12</v>
      </c>
      <c r="C29" s="217">
        <f t="shared" si="0"/>
        <v>1048.378240435017</v>
      </c>
      <c r="D29" s="216">
        <v>5</v>
      </c>
      <c r="E29" s="218">
        <v>22</v>
      </c>
      <c r="F29" s="216">
        <v>24</v>
      </c>
      <c r="H29" s="230" t="s">
        <v>352</v>
      </c>
      <c r="I29" s="231">
        <v>64.92</v>
      </c>
      <c r="J29" s="231">
        <v>1000</v>
      </c>
      <c r="K29" s="231">
        <v>75</v>
      </c>
      <c r="M29" s="257" t="s">
        <v>606</v>
      </c>
      <c r="N29" s="232">
        <v>77</v>
      </c>
      <c r="O29" s="232">
        <v>3</v>
      </c>
      <c r="P29" s="231">
        <v>75</v>
      </c>
      <c r="R29" s="235" t="s">
        <v>353</v>
      </c>
      <c r="S29" s="234">
        <v>10</v>
      </c>
      <c r="T29" s="235" t="s">
        <v>354</v>
      </c>
      <c r="U29" s="235" t="s">
        <v>355</v>
      </c>
      <c r="V29" s="235" t="s">
        <v>356</v>
      </c>
      <c r="X29" s="230" t="s">
        <v>7</v>
      </c>
      <c r="Y29" s="232">
        <v>82</v>
      </c>
      <c r="Z29" s="232">
        <v>107.5</v>
      </c>
      <c r="AA29" s="232">
        <v>21</v>
      </c>
      <c r="AB29" s="230" t="s">
        <v>348</v>
      </c>
      <c r="AD29" s="230" t="s">
        <v>379</v>
      </c>
      <c r="AE29" s="232" t="s">
        <v>119</v>
      </c>
      <c r="AF29" s="230" t="s">
        <v>380</v>
      </c>
    </row>
    <row r="30" spans="1:32" ht="12.75">
      <c r="A30" t="s">
        <v>381</v>
      </c>
      <c r="B30" s="216">
        <v>14</v>
      </c>
      <c r="C30" s="217">
        <f t="shared" si="0"/>
        <v>1056.8444123769775</v>
      </c>
      <c r="D30" s="216">
        <v>6</v>
      </c>
      <c r="E30" s="218">
        <v>10</v>
      </c>
      <c r="F30" s="216">
        <v>28</v>
      </c>
      <c r="H30" s="230" t="s">
        <v>361</v>
      </c>
      <c r="I30" s="231">
        <v>80.5</v>
      </c>
      <c r="J30" s="231">
        <v>3</v>
      </c>
      <c r="K30" s="231">
        <v>100</v>
      </c>
      <c r="M30" s="230" t="s">
        <v>220</v>
      </c>
      <c r="N30" s="232">
        <v>73.58</v>
      </c>
      <c r="O30" s="232">
        <v>30</v>
      </c>
      <c r="P30" s="231">
        <v>100</v>
      </c>
      <c r="R30" s="235" t="s">
        <v>362</v>
      </c>
      <c r="S30" s="234">
        <v>9</v>
      </c>
      <c r="T30" s="235" t="s">
        <v>363</v>
      </c>
      <c r="U30" s="235" t="s">
        <v>364</v>
      </c>
      <c r="V30" s="235" t="s">
        <v>365</v>
      </c>
      <c r="X30" s="230" t="s">
        <v>318</v>
      </c>
      <c r="Y30" s="232">
        <v>82</v>
      </c>
      <c r="Z30" s="232">
        <v>107.5</v>
      </c>
      <c r="AA30" s="232" t="s">
        <v>357</v>
      </c>
      <c r="AB30" s="230" t="s">
        <v>319</v>
      </c>
      <c r="AD30" s="230" t="s">
        <v>389</v>
      </c>
      <c r="AE30" s="232" t="s">
        <v>119</v>
      </c>
      <c r="AF30" s="230" t="s">
        <v>390</v>
      </c>
    </row>
    <row r="31" spans="1:32" ht="12.75">
      <c r="A31" t="s">
        <v>391</v>
      </c>
      <c r="B31" s="216">
        <v>18.7</v>
      </c>
      <c r="C31" s="217">
        <f t="shared" si="0"/>
        <v>1077.224090455592</v>
      </c>
      <c r="D31" s="216">
        <v>8.1</v>
      </c>
      <c r="E31" s="218">
        <v>35</v>
      </c>
      <c r="F31" s="216">
        <v>60</v>
      </c>
      <c r="H31" s="230" t="s">
        <v>372</v>
      </c>
      <c r="I31" s="231">
        <v>84.4</v>
      </c>
      <c r="J31" s="231">
        <v>4</v>
      </c>
      <c r="K31" s="231">
        <v>100</v>
      </c>
      <c r="M31" s="257"/>
      <c r="N31" s="232"/>
      <c r="O31" s="232"/>
      <c r="P31" s="231"/>
      <c r="R31" s="235" t="s">
        <v>373</v>
      </c>
      <c r="S31" s="234">
        <v>7</v>
      </c>
      <c r="T31" s="235" t="s">
        <v>374</v>
      </c>
      <c r="U31" s="235" t="s">
        <v>375</v>
      </c>
      <c r="V31" s="235" t="s">
        <v>376</v>
      </c>
      <c r="X31" s="230" t="s">
        <v>366</v>
      </c>
      <c r="Y31" s="232">
        <v>82</v>
      </c>
      <c r="Z31" s="232">
        <v>107.5</v>
      </c>
      <c r="AA31" s="232">
        <v>21</v>
      </c>
      <c r="AB31" s="230" t="s">
        <v>367</v>
      </c>
      <c r="AD31" s="230"/>
      <c r="AE31" s="232"/>
      <c r="AF31" s="230"/>
    </row>
    <row r="32" spans="1:32" ht="12.75">
      <c r="A32" t="s">
        <v>399</v>
      </c>
      <c r="B32" s="216">
        <v>17</v>
      </c>
      <c r="C32" s="217">
        <f t="shared" si="0"/>
        <v>1069.7728872000203</v>
      </c>
      <c r="D32" s="216">
        <v>8.5</v>
      </c>
      <c r="E32" s="218">
        <v>11</v>
      </c>
      <c r="F32" s="216">
        <v>32</v>
      </c>
      <c r="H32" s="230" t="s">
        <v>382</v>
      </c>
      <c r="I32" s="231">
        <v>77</v>
      </c>
      <c r="J32" s="231">
        <v>4.006847491642186</v>
      </c>
      <c r="K32" s="231">
        <v>98</v>
      </c>
      <c r="M32" s="230"/>
      <c r="N32" s="232"/>
      <c r="O32" s="232"/>
      <c r="P32" s="231"/>
      <c r="R32" s="235" t="s">
        <v>383</v>
      </c>
      <c r="S32" s="234">
        <v>7</v>
      </c>
      <c r="T32" s="235" t="s">
        <v>384</v>
      </c>
      <c r="U32" s="235" t="s">
        <v>385</v>
      </c>
      <c r="V32" s="235" t="s">
        <v>386</v>
      </c>
      <c r="X32" s="230" t="s">
        <v>377</v>
      </c>
      <c r="Y32" s="232">
        <v>84</v>
      </c>
      <c r="Z32" s="232">
        <v>107.5</v>
      </c>
      <c r="AA32" s="232">
        <v>23</v>
      </c>
      <c r="AB32" s="230" t="s">
        <v>378</v>
      </c>
      <c r="AD32" s="230"/>
      <c r="AE32" s="232"/>
      <c r="AF32" s="230"/>
    </row>
    <row r="33" spans="1:32" ht="12.75">
      <c r="A33" t="s">
        <v>407</v>
      </c>
      <c r="B33" s="216">
        <v>16.3</v>
      </c>
      <c r="C33" s="217">
        <f t="shared" si="0"/>
        <v>1066.731259523661</v>
      </c>
      <c r="D33" s="216">
        <v>7.5</v>
      </c>
      <c r="E33" s="218">
        <v>15</v>
      </c>
      <c r="F33" s="216">
        <v>38</v>
      </c>
      <c r="H33" s="230" t="s">
        <v>392</v>
      </c>
      <c r="I33" s="231">
        <v>80.07</v>
      </c>
      <c r="J33" s="231">
        <v>5</v>
      </c>
      <c r="K33" s="231">
        <v>99.7</v>
      </c>
      <c r="M33" s="230"/>
      <c r="N33" s="232"/>
      <c r="O33" s="232"/>
      <c r="P33" s="231"/>
      <c r="R33" s="235" t="s">
        <v>393</v>
      </c>
      <c r="S33" s="234">
        <v>4.5</v>
      </c>
      <c r="T33" s="235" t="s">
        <v>394</v>
      </c>
      <c r="U33" s="235" t="s">
        <v>395</v>
      </c>
      <c r="V33" s="235" t="s">
        <v>396</v>
      </c>
      <c r="X33" s="230" t="s">
        <v>387</v>
      </c>
      <c r="Y33" s="232">
        <v>84</v>
      </c>
      <c r="Z33" s="232">
        <v>107.5</v>
      </c>
      <c r="AA33" s="232">
        <v>23</v>
      </c>
      <c r="AB33" s="230" t="s">
        <v>388</v>
      </c>
      <c r="AD33" s="230"/>
      <c r="AE33" s="232"/>
      <c r="AF33" s="230"/>
    </row>
    <row r="34" spans="1:32" ht="12.75">
      <c r="A34" t="s">
        <v>415</v>
      </c>
      <c r="B34" s="216">
        <v>12.6</v>
      </c>
      <c r="C34" s="217">
        <f t="shared" si="0"/>
        <v>1050.9054565680099</v>
      </c>
      <c r="D34" s="216">
        <v>5.3</v>
      </c>
      <c r="E34" s="218">
        <v>9</v>
      </c>
      <c r="F34" s="216">
        <v>18</v>
      </c>
      <c r="H34" s="230" t="s">
        <v>400</v>
      </c>
      <c r="I34" s="231">
        <v>85</v>
      </c>
      <c r="J34" s="231">
        <v>6</v>
      </c>
      <c r="K34" s="231">
        <v>100</v>
      </c>
      <c r="M34" s="230"/>
      <c r="N34" s="232"/>
      <c r="O34" s="232"/>
      <c r="P34" s="231"/>
      <c r="R34" s="235" t="s">
        <v>567</v>
      </c>
      <c r="S34" s="234">
        <v>13</v>
      </c>
      <c r="T34" s="235" t="s">
        <v>564</v>
      </c>
      <c r="U34" s="235" t="s">
        <v>565</v>
      </c>
      <c r="V34" s="235" t="s">
        <v>566</v>
      </c>
      <c r="X34" s="230" t="s">
        <v>397</v>
      </c>
      <c r="Y34" s="232">
        <v>90</v>
      </c>
      <c r="Z34" s="232">
        <v>107.5</v>
      </c>
      <c r="AA34" s="232">
        <v>24</v>
      </c>
      <c r="AB34" s="230" t="s">
        <v>398</v>
      </c>
      <c r="AD34" s="230"/>
      <c r="AE34" s="232"/>
      <c r="AF34" s="230"/>
    </row>
    <row r="35" spans="1:32" ht="12.75">
      <c r="A35" t="s">
        <v>423</v>
      </c>
      <c r="B35" s="216">
        <v>11.9</v>
      </c>
      <c r="C35" s="217">
        <f t="shared" si="0"/>
        <v>1047.9580828623382</v>
      </c>
      <c r="D35" s="216">
        <v>5</v>
      </c>
      <c r="E35" s="218">
        <v>3</v>
      </c>
      <c r="F35" s="216">
        <v>27</v>
      </c>
      <c r="H35" s="230" t="s">
        <v>408</v>
      </c>
      <c r="I35" s="231">
        <v>69.25</v>
      </c>
      <c r="J35" s="231">
        <v>6</v>
      </c>
      <c r="K35" s="231">
        <v>100</v>
      </c>
      <c r="M35" s="257" t="s">
        <v>694</v>
      </c>
      <c r="N35" s="232">
        <v>100</v>
      </c>
      <c r="O35" s="232">
        <v>9000</v>
      </c>
      <c r="P35" s="231">
        <v>0</v>
      </c>
      <c r="R35" s="235" t="s">
        <v>401</v>
      </c>
      <c r="S35" s="234">
        <v>5</v>
      </c>
      <c r="T35" s="235" t="s">
        <v>402</v>
      </c>
      <c r="U35" s="235" t="s">
        <v>403</v>
      </c>
      <c r="V35" s="235" t="s">
        <v>404</v>
      </c>
      <c r="X35" s="230" t="s">
        <v>405</v>
      </c>
      <c r="Y35" s="232">
        <v>75</v>
      </c>
      <c r="Z35" s="232">
        <v>107</v>
      </c>
      <c r="AA35" s="232">
        <v>16</v>
      </c>
      <c r="AB35" s="230" t="s">
        <v>406</v>
      </c>
      <c r="AD35" s="230"/>
      <c r="AE35" s="232"/>
      <c r="AF35" s="230"/>
    </row>
    <row r="36" spans="1:32" ht="12.75" customHeight="1">
      <c r="A36" t="s">
        <v>431</v>
      </c>
      <c r="B36" s="216">
        <v>11.9</v>
      </c>
      <c r="C36" s="217">
        <f t="shared" si="0"/>
        <v>1047.9580828623382</v>
      </c>
      <c r="D36" s="216">
        <v>4.6</v>
      </c>
      <c r="E36" s="218">
        <v>150</v>
      </c>
      <c r="F36" s="216">
        <v>45</v>
      </c>
      <c r="H36" s="230" t="s">
        <v>416</v>
      </c>
      <c r="I36" s="231">
        <v>80.07</v>
      </c>
      <c r="J36" s="231">
        <v>7</v>
      </c>
      <c r="K36" s="231">
        <v>100</v>
      </c>
      <c r="M36" s="230"/>
      <c r="N36" s="232"/>
      <c r="O36" s="232"/>
      <c r="P36" s="231"/>
      <c r="R36" s="235" t="s">
        <v>409</v>
      </c>
      <c r="S36" s="234">
        <v>4</v>
      </c>
      <c r="T36" s="235" t="s">
        <v>410</v>
      </c>
      <c r="U36" s="235" t="s">
        <v>411</v>
      </c>
      <c r="V36" s="235" t="s">
        <v>412</v>
      </c>
      <c r="X36" s="230" t="s">
        <v>413</v>
      </c>
      <c r="Y36" s="232">
        <v>76</v>
      </c>
      <c r="Z36" s="232">
        <v>107</v>
      </c>
      <c r="AA36" s="232">
        <v>19</v>
      </c>
      <c r="AB36" s="230" t="s">
        <v>414</v>
      </c>
      <c r="AD36" s="230"/>
      <c r="AE36" s="232"/>
      <c r="AF36" s="230"/>
    </row>
    <row r="37" spans="1:32" ht="12.75">
      <c r="A37" t="s">
        <v>438</v>
      </c>
      <c r="B37" s="216">
        <v>17.6</v>
      </c>
      <c r="C37" s="217">
        <f t="shared" si="0"/>
        <v>1072.3922581086733</v>
      </c>
      <c r="D37" s="216">
        <v>7.2</v>
      </c>
      <c r="E37" s="218">
        <v>150</v>
      </c>
      <c r="F37" s="216">
        <v>65</v>
      </c>
      <c r="H37" s="230" t="s">
        <v>424</v>
      </c>
      <c r="I37" s="231">
        <v>84.4</v>
      </c>
      <c r="J37" s="231">
        <v>20</v>
      </c>
      <c r="K37" s="231">
        <v>99.9</v>
      </c>
      <c r="M37" s="230"/>
      <c r="N37" s="232"/>
      <c r="O37" s="232"/>
      <c r="P37" s="231"/>
      <c r="R37" s="235" t="s">
        <v>417</v>
      </c>
      <c r="S37" s="234">
        <v>4</v>
      </c>
      <c r="T37" s="235" t="s">
        <v>418</v>
      </c>
      <c r="U37" s="235" t="s">
        <v>419</v>
      </c>
      <c r="V37" s="235" t="s">
        <v>420</v>
      </c>
      <c r="X37" s="230" t="s">
        <v>421</v>
      </c>
      <c r="Y37" s="232">
        <v>75</v>
      </c>
      <c r="Z37" s="232">
        <v>107</v>
      </c>
      <c r="AA37" s="232">
        <v>18</v>
      </c>
      <c r="AB37" s="230" t="s">
        <v>422</v>
      </c>
      <c r="AD37" s="230"/>
      <c r="AE37" s="232"/>
      <c r="AF37" s="230"/>
    </row>
    <row r="38" spans="1:32" ht="12.75" customHeight="1">
      <c r="A38" t="s">
        <v>446</v>
      </c>
      <c r="B38" s="216">
        <v>11.9</v>
      </c>
      <c r="C38" s="217">
        <f t="shared" si="0"/>
        <v>1047.9580828623382</v>
      </c>
      <c r="D38" s="216">
        <v>5</v>
      </c>
      <c r="E38" s="218">
        <v>5</v>
      </c>
      <c r="F38" s="216">
        <v>28</v>
      </c>
      <c r="H38" s="230" t="s">
        <v>432</v>
      </c>
      <c r="I38" s="231">
        <v>70</v>
      </c>
      <c r="J38" s="231">
        <v>25</v>
      </c>
      <c r="K38" s="231">
        <v>96</v>
      </c>
      <c r="M38" s="230"/>
      <c r="N38" s="232"/>
      <c r="O38" s="232"/>
      <c r="P38" s="231"/>
      <c r="R38" s="235" t="s">
        <v>425</v>
      </c>
      <c r="S38" s="234">
        <v>3.8</v>
      </c>
      <c r="T38" s="235" t="s">
        <v>426</v>
      </c>
      <c r="U38" s="235" t="s">
        <v>427</v>
      </c>
      <c r="V38" s="235" t="s">
        <v>428</v>
      </c>
      <c r="X38" s="230" t="s">
        <v>429</v>
      </c>
      <c r="Y38" s="232">
        <v>75</v>
      </c>
      <c r="Z38" s="232">
        <v>107</v>
      </c>
      <c r="AA38" s="232">
        <v>18</v>
      </c>
      <c r="AB38" s="230" t="s">
        <v>430</v>
      </c>
      <c r="AD38" s="230"/>
      <c r="AE38" s="232"/>
      <c r="AF38" s="230"/>
    </row>
    <row r="39" spans="1:32" ht="12.75">
      <c r="A39" t="s">
        <v>454</v>
      </c>
      <c r="B39" s="216">
        <v>11.9</v>
      </c>
      <c r="C39" s="217">
        <f t="shared" si="0"/>
        <v>1047.9580828623382</v>
      </c>
      <c r="D39" s="216">
        <v>5</v>
      </c>
      <c r="E39" s="218">
        <v>8</v>
      </c>
      <c r="F39" s="216">
        <v>18</v>
      </c>
      <c r="H39" s="230" t="s">
        <v>439</v>
      </c>
      <c r="I39" s="231">
        <v>70</v>
      </c>
      <c r="J39" s="231">
        <v>40</v>
      </c>
      <c r="K39" s="231">
        <v>95</v>
      </c>
      <c r="M39" s="230"/>
      <c r="N39" s="232"/>
      <c r="O39" s="232"/>
      <c r="P39" s="231"/>
      <c r="R39" s="235" t="s">
        <v>433</v>
      </c>
      <c r="S39" s="234">
        <v>11</v>
      </c>
      <c r="T39" s="235" t="s">
        <v>434</v>
      </c>
      <c r="U39" s="235" t="s">
        <v>435</v>
      </c>
      <c r="V39" s="235" t="s">
        <v>213</v>
      </c>
      <c r="X39" s="230" t="s">
        <v>436</v>
      </c>
      <c r="Y39" s="232">
        <v>73</v>
      </c>
      <c r="Z39" s="232">
        <v>107</v>
      </c>
      <c r="AA39" s="232">
        <v>19</v>
      </c>
      <c r="AB39" s="230" t="s">
        <v>437</v>
      </c>
      <c r="AD39" s="230"/>
      <c r="AE39" s="232"/>
      <c r="AF39" s="230"/>
    </row>
    <row r="40" spans="1:32" ht="12.75">
      <c r="A40" t="s">
        <v>461</v>
      </c>
      <c r="B40" s="216">
        <v>12.3</v>
      </c>
      <c r="C40" s="217">
        <f t="shared" si="0"/>
        <v>1049.6405028728232</v>
      </c>
      <c r="D40" s="216">
        <v>5.2</v>
      </c>
      <c r="E40" s="218">
        <v>3</v>
      </c>
      <c r="F40" s="216">
        <v>21</v>
      </c>
      <c r="H40" s="230" t="s">
        <v>447</v>
      </c>
      <c r="I40" s="231">
        <v>70</v>
      </c>
      <c r="J40" s="231">
        <v>60</v>
      </c>
      <c r="K40" s="231">
        <v>94</v>
      </c>
      <c r="M40" s="230"/>
      <c r="N40" s="232"/>
      <c r="O40" s="232"/>
      <c r="P40" s="231"/>
      <c r="R40" s="235" t="s">
        <v>440</v>
      </c>
      <c r="S40" s="234">
        <v>4</v>
      </c>
      <c r="T40" s="235" t="s">
        <v>441</v>
      </c>
      <c r="U40" s="235" t="s">
        <v>442</v>
      </c>
      <c r="V40" s="235" t="s">
        <v>443</v>
      </c>
      <c r="X40" s="230" t="s">
        <v>444</v>
      </c>
      <c r="Y40" s="232">
        <v>74</v>
      </c>
      <c r="Z40" s="232">
        <v>107</v>
      </c>
      <c r="AA40" s="232">
        <v>20</v>
      </c>
      <c r="AB40" s="230" t="s">
        <v>445</v>
      </c>
      <c r="AD40" s="230"/>
      <c r="AE40" s="232"/>
      <c r="AF40" s="230"/>
    </row>
    <row r="41" spans="1:32" ht="12.75">
      <c r="A41" t="s">
        <v>469</v>
      </c>
      <c r="B41" s="216">
        <v>12.8</v>
      </c>
      <c r="C41" s="217">
        <f t="shared" si="0"/>
        <v>1051.7502584278532</v>
      </c>
      <c r="D41" s="216">
        <v>5.3</v>
      </c>
      <c r="E41" s="218">
        <v>60</v>
      </c>
      <c r="F41" s="216">
        <v>20</v>
      </c>
      <c r="H41" s="230" t="s">
        <v>455</v>
      </c>
      <c r="I41" s="231">
        <v>80.07</v>
      </c>
      <c r="J41" s="231">
        <v>70</v>
      </c>
      <c r="K41" s="231">
        <v>99.5</v>
      </c>
      <c r="M41" s="230"/>
      <c r="N41" s="232"/>
      <c r="O41" s="232"/>
      <c r="P41" s="231"/>
      <c r="R41" s="235" t="s">
        <v>448</v>
      </c>
      <c r="S41" s="234">
        <v>5.5</v>
      </c>
      <c r="T41" s="235" t="s">
        <v>449</v>
      </c>
      <c r="U41" s="235" t="s">
        <v>450</v>
      </c>
      <c r="V41" s="235" t="s">
        <v>451</v>
      </c>
      <c r="X41" s="230" t="s">
        <v>452</v>
      </c>
      <c r="Y41" s="232">
        <v>70</v>
      </c>
      <c r="Z41" s="232">
        <v>106.5</v>
      </c>
      <c r="AA41" s="232">
        <v>21</v>
      </c>
      <c r="AB41" s="230" t="s">
        <v>453</v>
      </c>
      <c r="AD41" s="230"/>
      <c r="AE41" s="232"/>
      <c r="AF41" s="230"/>
    </row>
    <row r="42" spans="1:32" ht="12.75">
      <c r="A42" t="s">
        <v>477</v>
      </c>
      <c r="B42" s="216">
        <v>12.8</v>
      </c>
      <c r="C42" s="217">
        <f t="shared" si="0"/>
        <v>1051.7502584278532</v>
      </c>
      <c r="D42" s="216">
        <v>5.3</v>
      </c>
      <c r="E42" s="218">
        <v>60</v>
      </c>
      <c r="F42" s="216">
        <v>20</v>
      </c>
      <c r="H42" s="230" t="s">
        <v>462</v>
      </c>
      <c r="I42" s="231">
        <v>65</v>
      </c>
      <c r="J42" s="231">
        <v>800</v>
      </c>
      <c r="K42" s="231">
        <v>75</v>
      </c>
      <c r="M42" s="230"/>
      <c r="N42" s="232"/>
      <c r="O42" s="232"/>
      <c r="P42" s="231"/>
      <c r="R42" s="235" t="s">
        <v>456</v>
      </c>
      <c r="S42" s="234">
        <v>6.5</v>
      </c>
      <c r="T42" s="235" t="s">
        <v>457</v>
      </c>
      <c r="U42" s="235" t="s">
        <v>364</v>
      </c>
      <c r="V42" s="235" t="s">
        <v>458</v>
      </c>
      <c r="X42" s="230" t="s">
        <v>459</v>
      </c>
      <c r="Y42" s="232">
        <v>70</v>
      </c>
      <c r="Z42" s="232">
        <v>106.5</v>
      </c>
      <c r="AA42" s="232">
        <v>21</v>
      </c>
      <c r="AB42" s="230" t="s">
        <v>460</v>
      </c>
      <c r="AD42" s="230"/>
      <c r="AE42" s="232"/>
      <c r="AF42" s="230"/>
    </row>
    <row r="43" spans="1:32" ht="12.75">
      <c r="A43" t="s">
        <v>481</v>
      </c>
      <c r="B43" s="216">
        <v>12.8</v>
      </c>
      <c r="C43" s="217">
        <f t="shared" si="0"/>
        <v>1051.7502584278532</v>
      </c>
      <c r="D43" s="216">
        <v>5.4</v>
      </c>
      <c r="E43" s="218">
        <v>11</v>
      </c>
      <c r="F43" s="216">
        <v>24</v>
      </c>
      <c r="H43" s="230" t="s">
        <v>470</v>
      </c>
      <c r="I43" s="231">
        <v>65</v>
      </c>
      <c r="J43" s="231">
        <v>900</v>
      </c>
      <c r="K43" s="231">
        <v>75</v>
      </c>
      <c r="M43" s="230"/>
      <c r="N43" s="232"/>
      <c r="O43" s="232"/>
      <c r="P43" s="231"/>
      <c r="R43" s="235" t="s">
        <v>463</v>
      </c>
      <c r="S43" s="234">
        <v>5.7</v>
      </c>
      <c r="T43" s="235" t="s">
        <v>464</v>
      </c>
      <c r="U43" s="235" t="s">
        <v>465</v>
      </c>
      <c r="V43" s="235" t="s">
        <v>466</v>
      </c>
      <c r="X43" s="230" t="s">
        <v>467</v>
      </c>
      <c r="Y43" s="232">
        <v>86</v>
      </c>
      <c r="Z43" s="232">
        <v>107.5</v>
      </c>
      <c r="AA43" s="232">
        <v>21</v>
      </c>
      <c r="AB43" s="230" t="s">
        <v>468</v>
      </c>
      <c r="AD43" s="230"/>
      <c r="AE43" s="232"/>
      <c r="AF43" s="230"/>
    </row>
    <row r="44" spans="1:32" ht="12.75">
      <c r="A44" t="s">
        <v>484</v>
      </c>
      <c r="B44" s="216">
        <v>15.3</v>
      </c>
      <c r="C44" s="217">
        <f t="shared" si="0"/>
        <v>1062.4125803202487</v>
      </c>
      <c r="D44" s="216">
        <v>6.6</v>
      </c>
      <c r="E44" s="218">
        <v>50</v>
      </c>
      <c r="F44" s="216">
        <v>23</v>
      </c>
      <c r="H44" s="230" t="s">
        <v>478</v>
      </c>
      <c r="I44" s="231">
        <v>69.25</v>
      </c>
      <c r="J44" s="231">
        <v>1200</v>
      </c>
      <c r="K44" s="231">
        <v>70</v>
      </c>
      <c r="M44" s="230"/>
      <c r="N44" s="232"/>
      <c r="O44" s="232"/>
      <c r="P44" s="231"/>
      <c r="R44" s="235" t="s">
        <v>471</v>
      </c>
      <c r="S44" s="234">
        <v>10</v>
      </c>
      <c r="T44" s="235" t="s">
        <v>472</v>
      </c>
      <c r="U44" s="235" t="s">
        <v>473</v>
      </c>
      <c r="V44" s="235" t="s">
        <v>474</v>
      </c>
      <c r="X44" s="230" t="s">
        <v>475</v>
      </c>
      <c r="Y44" s="232">
        <v>74</v>
      </c>
      <c r="Z44" s="232">
        <v>107.5</v>
      </c>
      <c r="AA44" s="232">
        <v>19</v>
      </c>
      <c r="AB44" s="230" t="s">
        <v>476</v>
      </c>
      <c r="AD44" s="230"/>
      <c r="AE44" s="232"/>
      <c r="AF44" s="230"/>
    </row>
    <row r="45" spans="1:32" ht="12.75">
      <c r="A45" t="s">
        <v>487</v>
      </c>
      <c r="B45" s="216">
        <v>20</v>
      </c>
      <c r="C45" s="217">
        <f t="shared" si="0"/>
        <v>1082.9844528627561</v>
      </c>
      <c r="D45" s="216">
        <v>10.1</v>
      </c>
      <c r="E45" s="218">
        <v>11</v>
      </c>
      <c r="F45" s="216">
        <v>33</v>
      </c>
      <c r="H45" s="257" t="s">
        <v>570</v>
      </c>
      <c r="I45" s="231">
        <v>79</v>
      </c>
      <c r="J45" s="231">
        <v>5</v>
      </c>
      <c r="K45" s="231">
        <v>100</v>
      </c>
      <c r="M45" s="230"/>
      <c r="N45" s="232"/>
      <c r="O45" s="232"/>
      <c r="P45" s="231"/>
      <c r="R45" s="235"/>
      <c r="S45" s="234"/>
      <c r="T45" s="235"/>
      <c r="U45" s="235"/>
      <c r="V45" s="235"/>
      <c r="X45" s="230" t="s">
        <v>479</v>
      </c>
      <c r="Y45" s="232">
        <v>74</v>
      </c>
      <c r="Z45" s="232">
        <v>107.5</v>
      </c>
      <c r="AA45" s="232">
        <v>19</v>
      </c>
      <c r="AB45" s="230" t="s">
        <v>480</v>
      </c>
      <c r="AD45" s="230"/>
      <c r="AE45" s="232"/>
      <c r="AF45" s="230"/>
    </row>
    <row r="46" spans="1:32" ht="12.75">
      <c r="A46" t="s">
        <v>490</v>
      </c>
      <c r="B46" s="216">
        <v>11.4</v>
      </c>
      <c r="C46" s="217">
        <f t="shared" si="0"/>
        <v>1045.861755049711</v>
      </c>
      <c r="D46" s="216">
        <v>4.8</v>
      </c>
      <c r="E46" s="218">
        <v>3</v>
      </c>
      <c r="F46" s="216">
        <v>28</v>
      </c>
      <c r="H46" s="257"/>
      <c r="I46" s="231"/>
      <c r="J46" s="231"/>
      <c r="K46" s="231"/>
      <c r="M46" s="230"/>
      <c r="N46" s="232"/>
      <c r="O46" s="232"/>
      <c r="P46" s="231"/>
      <c r="R46" s="361" t="s">
        <v>647</v>
      </c>
      <c r="S46" s="362"/>
      <c r="T46" s="361" t="s">
        <v>650</v>
      </c>
      <c r="U46" s="235"/>
      <c r="V46" s="235"/>
      <c r="X46" s="230" t="s">
        <v>482</v>
      </c>
      <c r="Y46" s="232">
        <v>73</v>
      </c>
      <c r="Z46" s="232">
        <v>107</v>
      </c>
      <c r="AA46" s="232">
        <v>21</v>
      </c>
      <c r="AB46" s="230" t="s">
        <v>483</v>
      </c>
      <c r="AD46" s="230"/>
      <c r="AE46" s="232"/>
      <c r="AF46" s="230"/>
    </row>
    <row r="47" spans="1:32" ht="12.75" customHeight="1">
      <c r="A47" t="s">
        <v>492</v>
      </c>
      <c r="B47" s="216">
        <v>10.9</v>
      </c>
      <c r="C47" s="217">
        <f t="shared" si="0"/>
        <v>1043.772831773518</v>
      </c>
      <c r="D47" s="216">
        <v>5</v>
      </c>
      <c r="E47" s="218">
        <v>24</v>
      </c>
      <c r="F47" s="216">
        <v>50</v>
      </c>
      <c r="H47" s="230"/>
      <c r="I47" s="231"/>
      <c r="J47" s="231"/>
      <c r="K47" s="231"/>
      <c r="M47" s="230"/>
      <c r="N47" s="232"/>
      <c r="O47" s="232"/>
      <c r="P47" s="231"/>
      <c r="R47" s="235" t="s">
        <v>651</v>
      </c>
      <c r="S47" s="234">
        <v>11.5</v>
      </c>
      <c r="T47" s="235" t="s">
        <v>648</v>
      </c>
      <c r="U47" s="235"/>
      <c r="V47" s="235" t="s">
        <v>653</v>
      </c>
      <c r="X47" s="230" t="s">
        <v>485</v>
      </c>
      <c r="Y47" s="232">
        <v>75</v>
      </c>
      <c r="Z47" s="232">
        <v>107.5</v>
      </c>
      <c r="AA47" s="232">
        <v>21</v>
      </c>
      <c r="AB47" s="230" t="s">
        <v>486</v>
      </c>
      <c r="AD47" s="230"/>
      <c r="AE47" s="232"/>
      <c r="AF47" s="230"/>
    </row>
    <row r="48" spans="1:32" ht="14.25" customHeight="1">
      <c r="A48" t="s">
        <v>495</v>
      </c>
      <c r="B48" s="216">
        <v>15.8</v>
      </c>
      <c r="C48" s="217">
        <f t="shared" si="0"/>
        <v>1064.5680392047325</v>
      </c>
      <c r="D48" s="216">
        <v>7.4</v>
      </c>
      <c r="E48" s="218">
        <v>76</v>
      </c>
      <c r="F48" s="216">
        <v>26</v>
      </c>
      <c r="H48" s="230"/>
      <c r="I48" s="231"/>
      <c r="J48" s="231"/>
      <c r="K48" s="231"/>
      <c r="M48" s="230"/>
      <c r="N48" s="232"/>
      <c r="O48" s="232"/>
      <c r="P48" s="231"/>
      <c r="R48" s="235" t="s">
        <v>652</v>
      </c>
      <c r="S48" s="234">
        <v>10</v>
      </c>
      <c r="T48" s="235" t="s">
        <v>649</v>
      </c>
      <c r="U48" s="235"/>
      <c r="V48" s="235" t="s">
        <v>653</v>
      </c>
      <c r="X48" s="230" t="s">
        <v>488</v>
      </c>
      <c r="Y48" s="232">
        <v>69</v>
      </c>
      <c r="Z48" s="232">
        <v>106.5</v>
      </c>
      <c r="AA48" s="232">
        <v>20</v>
      </c>
      <c r="AB48" s="230" t="s">
        <v>489</v>
      </c>
      <c r="AD48" s="230"/>
      <c r="AE48" s="232"/>
      <c r="AF48" s="230"/>
    </row>
    <row r="49" spans="1:32" ht="12.75">
      <c r="A49" t="s">
        <v>498</v>
      </c>
      <c r="B49" s="216">
        <v>13.5</v>
      </c>
      <c r="C49" s="217">
        <f t="shared" si="0"/>
        <v>1054.7165515440556</v>
      </c>
      <c r="D49" s="216">
        <v>5.7</v>
      </c>
      <c r="E49" s="218">
        <v>32</v>
      </c>
      <c r="F49" s="216">
        <v>22</v>
      </c>
      <c r="H49" s="230"/>
      <c r="I49" s="231"/>
      <c r="J49" s="231"/>
      <c r="K49" s="231"/>
      <c r="M49" s="230"/>
      <c r="N49" s="232"/>
      <c r="O49" s="232"/>
      <c r="P49" s="231"/>
      <c r="R49" s="235"/>
      <c r="S49" s="234"/>
      <c r="T49" s="235"/>
      <c r="U49" s="235"/>
      <c r="V49" s="235"/>
      <c r="X49" s="230" t="s">
        <v>491</v>
      </c>
      <c r="Y49" s="232">
        <v>84</v>
      </c>
      <c r="Z49" s="232">
        <v>107.5</v>
      </c>
      <c r="AA49" s="232">
        <v>20</v>
      </c>
      <c r="AB49" s="257" t="s">
        <v>633</v>
      </c>
      <c r="AD49" s="230"/>
      <c r="AE49" s="232"/>
      <c r="AF49" s="230"/>
    </row>
    <row r="50" spans="1:32" ht="12.75">
      <c r="A50" t="s">
        <v>501</v>
      </c>
      <c r="B50" s="216">
        <v>17.4</v>
      </c>
      <c r="C50" s="217">
        <f t="shared" si="0"/>
        <v>1071.5178718846105</v>
      </c>
      <c r="D50" s="216">
        <v>7.5</v>
      </c>
      <c r="E50" s="218">
        <v>60</v>
      </c>
      <c r="F50" s="216">
        <v>30</v>
      </c>
      <c r="H50" s="230"/>
      <c r="I50" s="231"/>
      <c r="J50" s="231"/>
      <c r="K50" s="231"/>
      <c r="M50" s="230"/>
      <c r="N50" s="232"/>
      <c r="O50" s="232"/>
      <c r="P50" s="231"/>
      <c r="R50" s="235"/>
      <c r="S50" s="234"/>
      <c r="T50" s="235"/>
      <c r="U50" s="235"/>
      <c r="V50" s="235"/>
      <c r="X50" s="230" t="s">
        <v>493</v>
      </c>
      <c r="Y50" s="232">
        <v>71</v>
      </c>
      <c r="Z50" s="232">
        <v>107</v>
      </c>
      <c r="AA50" s="232">
        <v>18</v>
      </c>
      <c r="AB50" s="230" t="s">
        <v>494</v>
      </c>
      <c r="AD50" s="230"/>
      <c r="AE50" s="232"/>
      <c r="AF50" s="230"/>
    </row>
    <row r="51" spans="1:32" ht="12.75">
      <c r="A51" t="s">
        <v>504</v>
      </c>
      <c r="B51" s="216">
        <v>11.9</v>
      </c>
      <c r="C51" s="217">
        <f t="shared" si="0"/>
        <v>1047.9580828623382</v>
      </c>
      <c r="D51" s="216">
        <v>5</v>
      </c>
      <c r="E51" s="218">
        <v>6</v>
      </c>
      <c r="F51" s="216">
        <v>40</v>
      </c>
      <c r="H51" s="257" t="s">
        <v>683</v>
      </c>
      <c r="I51" s="231">
        <v>80</v>
      </c>
      <c r="J51" s="231">
        <v>10</v>
      </c>
      <c r="K51" s="231">
        <v>100</v>
      </c>
      <c r="M51" s="230"/>
      <c r="N51" s="232"/>
      <c r="O51" s="232"/>
      <c r="P51" s="231"/>
      <c r="R51" s="235"/>
      <c r="S51" s="234"/>
      <c r="T51" s="235"/>
      <c r="U51" s="235"/>
      <c r="V51" s="235"/>
      <c r="X51" s="230" t="s">
        <v>496</v>
      </c>
      <c r="Y51" s="232">
        <v>82</v>
      </c>
      <c r="Z51" s="232">
        <v>107.5</v>
      </c>
      <c r="AA51" s="232">
        <v>22</v>
      </c>
      <c r="AB51" s="230" t="s">
        <v>497</v>
      </c>
      <c r="AD51" s="230"/>
      <c r="AE51" s="232"/>
      <c r="AF51" s="230"/>
    </row>
    <row r="52" spans="1:32" ht="12.75">
      <c r="A52" t="s">
        <v>507</v>
      </c>
      <c r="B52" s="216">
        <v>12.3</v>
      </c>
      <c r="C52" s="217">
        <f t="shared" si="0"/>
        <v>1049.6405028728232</v>
      </c>
      <c r="D52" s="216">
        <v>5.2</v>
      </c>
      <c r="E52" s="218">
        <v>9</v>
      </c>
      <c r="F52" s="216">
        <v>18</v>
      </c>
      <c r="H52" s="230"/>
      <c r="I52" s="231"/>
      <c r="J52" s="231"/>
      <c r="K52" s="231"/>
      <c r="M52" s="230"/>
      <c r="N52" s="232"/>
      <c r="O52" s="232"/>
      <c r="P52" s="231"/>
      <c r="R52" s="235"/>
      <c r="S52" s="234"/>
      <c r="T52" s="235"/>
      <c r="U52" s="235"/>
      <c r="V52" s="235"/>
      <c r="X52" s="230" t="s">
        <v>499</v>
      </c>
      <c r="Y52" s="232">
        <v>69</v>
      </c>
      <c r="Z52" s="232">
        <v>106.5</v>
      </c>
      <c r="AA52" s="232">
        <v>20</v>
      </c>
      <c r="AB52" s="230" t="s">
        <v>500</v>
      </c>
      <c r="AD52" s="230"/>
      <c r="AE52" s="232"/>
      <c r="AF52" s="230"/>
    </row>
    <row r="53" spans="1:32" ht="13.5" customHeight="1">
      <c r="A53" t="s">
        <v>510</v>
      </c>
      <c r="B53" s="216">
        <v>11.9</v>
      </c>
      <c r="C53" s="217">
        <f t="shared" si="0"/>
        <v>1047.9580828623382</v>
      </c>
      <c r="D53" s="216">
        <v>4.8</v>
      </c>
      <c r="E53" s="218">
        <v>60</v>
      </c>
      <c r="F53" s="216">
        <v>14</v>
      </c>
      <c r="H53" s="230"/>
      <c r="I53" s="231"/>
      <c r="J53" s="231"/>
      <c r="K53" s="231"/>
      <c r="M53" s="230"/>
      <c r="N53" s="232"/>
      <c r="O53" s="232"/>
      <c r="P53" s="231"/>
      <c r="R53" s="235"/>
      <c r="S53" s="234"/>
      <c r="T53" s="235"/>
      <c r="U53" s="235"/>
      <c r="V53" s="235"/>
      <c r="X53" s="230" t="s">
        <v>502</v>
      </c>
      <c r="Y53" s="232">
        <v>73</v>
      </c>
      <c r="Z53" s="232">
        <v>107</v>
      </c>
      <c r="AA53" s="232">
        <v>11</v>
      </c>
      <c r="AB53" s="230" t="s">
        <v>503</v>
      </c>
      <c r="AD53" s="230"/>
      <c r="AE53" s="232"/>
      <c r="AF53" s="230"/>
    </row>
    <row r="54" spans="1:32" ht="12" customHeight="1">
      <c r="A54" t="s">
        <v>513</v>
      </c>
      <c r="B54" s="216">
        <v>15.8</v>
      </c>
      <c r="C54" s="217">
        <f t="shared" si="0"/>
        <v>1064.5680392047325</v>
      </c>
      <c r="D54" s="216">
        <v>6.6</v>
      </c>
      <c r="E54" s="218">
        <v>60</v>
      </c>
      <c r="F54" s="216">
        <v>14</v>
      </c>
      <c r="H54" s="230"/>
      <c r="I54" s="231"/>
      <c r="J54" s="231"/>
      <c r="K54" s="231"/>
      <c r="M54" s="230"/>
      <c r="N54" s="232"/>
      <c r="O54" s="232"/>
      <c r="P54" s="231"/>
      <c r="R54" s="235"/>
      <c r="S54" s="234"/>
      <c r="T54" s="235"/>
      <c r="U54" s="235"/>
      <c r="V54" s="235"/>
      <c r="X54" s="230" t="s">
        <v>505</v>
      </c>
      <c r="Y54" s="232">
        <v>73</v>
      </c>
      <c r="Z54" s="232">
        <v>107</v>
      </c>
      <c r="AA54" s="232">
        <v>11</v>
      </c>
      <c r="AB54" s="230" t="s">
        <v>506</v>
      </c>
      <c r="AD54" s="230"/>
      <c r="AE54" s="232"/>
      <c r="AF54" s="230"/>
    </row>
    <row r="55" spans="1:32" ht="12.75">
      <c r="A55" t="s">
        <v>516</v>
      </c>
      <c r="B55" s="216">
        <v>15.1</v>
      </c>
      <c r="C55" s="217">
        <f t="shared" si="0"/>
        <v>1061.5525606181134</v>
      </c>
      <c r="D55" s="216">
        <v>6.4</v>
      </c>
      <c r="E55" s="218">
        <v>35</v>
      </c>
      <c r="F55" s="216">
        <v>25</v>
      </c>
      <c r="H55" s="230"/>
      <c r="I55" s="231"/>
      <c r="J55" s="231"/>
      <c r="K55" s="231"/>
      <c r="M55" s="230"/>
      <c r="N55" s="232"/>
      <c r="O55" s="232"/>
      <c r="P55" s="231"/>
      <c r="R55" s="235"/>
      <c r="S55" s="234"/>
      <c r="T55" s="235"/>
      <c r="U55" s="235"/>
      <c r="V55" s="235"/>
      <c r="X55" s="230" t="s">
        <v>508</v>
      </c>
      <c r="Y55" s="232">
        <v>73</v>
      </c>
      <c r="Z55" s="232">
        <v>107</v>
      </c>
      <c r="AA55" s="232">
        <v>11</v>
      </c>
      <c r="AB55" s="230" t="s">
        <v>509</v>
      </c>
      <c r="AD55" s="230"/>
      <c r="AE55" s="232"/>
      <c r="AF55" s="230"/>
    </row>
    <row r="56" spans="1:32" ht="12.75">
      <c r="A56" t="s">
        <v>519</v>
      </c>
      <c r="B56" s="216">
        <v>19</v>
      </c>
      <c r="C56" s="217">
        <f t="shared" si="0"/>
        <v>1078.5485712324953</v>
      </c>
      <c r="D56" s="216">
        <v>8.5</v>
      </c>
      <c r="E56" s="218">
        <v>6</v>
      </c>
      <c r="F56" s="216">
        <v>27</v>
      </c>
      <c r="H56" s="230"/>
      <c r="I56" s="231"/>
      <c r="J56" s="231"/>
      <c r="K56" s="231"/>
      <c r="M56" s="230"/>
      <c r="N56" s="232"/>
      <c r="O56" s="232"/>
      <c r="P56" s="231"/>
      <c r="R56" s="235"/>
      <c r="S56" s="234"/>
      <c r="T56" s="235"/>
      <c r="U56" s="235"/>
      <c r="V56" s="235"/>
      <c r="X56" s="230" t="s">
        <v>511</v>
      </c>
      <c r="Y56" s="232">
        <v>77</v>
      </c>
      <c r="Z56" s="232">
        <v>107.5</v>
      </c>
      <c r="AA56" s="232">
        <v>12</v>
      </c>
      <c r="AB56" s="230" t="s">
        <v>512</v>
      </c>
      <c r="AD56" s="230"/>
      <c r="AE56" s="232"/>
      <c r="AF56" s="230"/>
    </row>
    <row r="57" spans="8:32" ht="12.75">
      <c r="H57" s="230"/>
      <c r="I57" s="231"/>
      <c r="J57" s="231"/>
      <c r="K57" s="231"/>
      <c r="M57" s="230"/>
      <c r="N57" s="232"/>
      <c r="O57" s="232"/>
      <c r="P57" s="231"/>
      <c r="R57" s="235"/>
      <c r="S57" s="234"/>
      <c r="T57" s="235"/>
      <c r="U57" s="235"/>
      <c r="V57" s="235"/>
      <c r="X57" s="230" t="s">
        <v>514</v>
      </c>
      <c r="Y57" s="232">
        <v>75</v>
      </c>
      <c r="Z57" s="232">
        <v>107.5</v>
      </c>
      <c r="AA57" s="232">
        <v>11</v>
      </c>
      <c r="AB57" s="230" t="s">
        <v>515</v>
      </c>
      <c r="AD57" s="230"/>
      <c r="AE57" s="232"/>
      <c r="AF57" s="230"/>
    </row>
    <row r="58" spans="8:32" ht="12.75">
      <c r="H58" s="230"/>
      <c r="I58" s="231"/>
      <c r="J58" s="231"/>
      <c r="K58" s="231"/>
      <c r="M58" s="230"/>
      <c r="N58" s="232"/>
      <c r="O58" s="232"/>
      <c r="P58" s="231"/>
      <c r="R58" s="235"/>
      <c r="S58" s="234"/>
      <c r="T58" s="235"/>
      <c r="U58" s="235"/>
      <c r="V58" s="235"/>
      <c r="X58" s="230" t="s">
        <v>517</v>
      </c>
      <c r="Y58" s="232">
        <v>69</v>
      </c>
      <c r="Z58" s="232">
        <v>106.5</v>
      </c>
      <c r="AA58" s="232">
        <v>17</v>
      </c>
      <c r="AB58" s="230" t="s">
        <v>518</v>
      </c>
      <c r="AD58" s="230"/>
      <c r="AE58" s="232"/>
      <c r="AF58" s="230"/>
    </row>
    <row r="59" spans="8:32" ht="12.75">
      <c r="H59" s="230"/>
      <c r="I59" s="231"/>
      <c r="J59" s="231"/>
      <c r="K59" s="231"/>
      <c r="M59" s="230"/>
      <c r="N59" s="232"/>
      <c r="O59" s="232"/>
      <c r="P59" s="231"/>
      <c r="R59" s="235"/>
      <c r="S59" s="234"/>
      <c r="T59" s="235"/>
      <c r="U59" s="235"/>
      <c r="V59" s="235"/>
      <c r="X59" s="230" t="s">
        <v>520</v>
      </c>
      <c r="Y59" s="232">
        <v>71</v>
      </c>
      <c r="Z59" s="232">
        <v>107</v>
      </c>
      <c r="AA59" s="232">
        <v>11</v>
      </c>
      <c r="AB59" s="230" t="s">
        <v>521</v>
      </c>
      <c r="AD59" s="230"/>
      <c r="AE59" s="232"/>
      <c r="AF59" s="230"/>
    </row>
    <row r="60" spans="8:32" ht="12.75">
      <c r="H60" s="230"/>
      <c r="I60" s="231"/>
      <c r="J60" s="231"/>
      <c r="K60" s="231"/>
      <c r="M60" s="230"/>
      <c r="N60" s="232"/>
      <c r="O60" s="232"/>
      <c r="P60" s="231"/>
      <c r="R60" s="235"/>
      <c r="S60" s="234"/>
      <c r="T60" s="235"/>
      <c r="U60" s="235"/>
      <c r="V60" s="235"/>
      <c r="X60" s="230" t="s">
        <v>522</v>
      </c>
      <c r="Y60" s="232">
        <v>75</v>
      </c>
      <c r="Z60" s="232">
        <v>107.5</v>
      </c>
      <c r="AA60" s="232">
        <v>11</v>
      </c>
      <c r="AB60" s="230" t="s">
        <v>523</v>
      </c>
      <c r="AD60" s="230"/>
      <c r="AE60" s="232"/>
      <c r="AF60" s="230"/>
    </row>
    <row r="61" spans="8:32" ht="12.75">
      <c r="H61" s="230"/>
      <c r="I61" s="231"/>
      <c r="J61" s="231"/>
      <c r="K61" s="231"/>
      <c r="M61" s="230"/>
      <c r="N61" s="232"/>
      <c r="O61" s="232"/>
      <c r="P61" s="231"/>
      <c r="R61" s="235"/>
      <c r="S61" s="234"/>
      <c r="T61" s="235"/>
      <c r="U61" s="235"/>
      <c r="V61" s="235"/>
      <c r="X61" s="230" t="s">
        <v>524</v>
      </c>
      <c r="Y61" s="232">
        <v>72</v>
      </c>
      <c r="Z61" s="232">
        <v>107.5</v>
      </c>
      <c r="AA61" s="232">
        <v>11</v>
      </c>
      <c r="AB61" s="230" t="s">
        <v>525</v>
      </c>
      <c r="AD61" s="230"/>
      <c r="AE61" s="232"/>
      <c r="AF61" s="230"/>
    </row>
    <row r="62" spans="8:32" ht="12.75">
      <c r="H62" s="230"/>
      <c r="I62" s="231"/>
      <c r="J62" s="231"/>
      <c r="K62" s="231"/>
      <c r="M62" s="230"/>
      <c r="N62" s="232"/>
      <c r="O62" s="232"/>
      <c r="P62" s="231"/>
      <c r="R62" s="235"/>
      <c r="S62" s="234"/>
      <c r="T62" s="235"/>
      <c r="U62" s="235"/>
      <c r="V62" s="235"/>
      <c r="X62" s="230" t="s">
        <v>526</v>
      </c>
      <c r="Y62" s="232">
        <v>75</v>
      </c>
      <c r="Z62" s="232">
        <v>107.5</v>
      </c>
      <c r="AA62" s="232">
        <v>11</v>
      </c>
      <c r="AB62" s="230" t="s">
        <v>527</v>
      </c>
      <c r="AD62" s="230"/>
      <c r="AE62" s="232"/>
      <c r="AF62" s="230"/>
    </row>
    <row r="63" spans="8:32" ht="12.75">
      <c r="H63" s="230"/>
      <c r="I63" s="231"/>
      <c r="J63" s="231"/>
      <c r="K63" s="231"/>
      <c r="M63" s="230"/>
      <c r="N63" s="232"/>
      <c r="O63" s="232"/>
      <c r="P63" s="231"/>
      <c r="R63" s="235"/>
      <c r="S63" s="234"/>
      <c r="T63" s="235"/>
      <c r="U63" s="235"/>
      <c r="V63" s="235"/>
      <c r="X63" s="230" t="s">
        <v>528</v>
      </c>
      <c r="Y63" s="232">
        <v>75</v>
      </c>
      <c r="Z63" s="232">
        <v>107.5</v>
      </c>
      <c r="AA63" s="232">
        <v>21</v>
      </c>
      <c r="AB63" s="230" t="s">
        <v>529</v>
      </c>
      <c r="AD63" s="230"/>
      <c r="AE63" s="232"/>
      <c r="AF63" s="230"/>
    </row>
    <row r="64" spans="8:32" ht="12.75">
      <c r="H64" s="230"/>
      <c r="I64" s="231"/>
      <c r="J64" s="231"/>
      <c r="K64" s="231"/>
      <c r="M64" s="230"/>
      <c r="N64" s="232"/>
      <c r="O64" s="232"/>
      <c r="P64" s="231"/>
      <c r="R64" s="235"/>
      <c r="S64" s="234"/>
      <c r="T64" s="235"/>
      <c r="U64" s="235"/>
      <c r="V64" s="235"/>
      <c r="X64" s="230" t="s">
        <v>530</v>
      </c>
      <c r="Y64" s="232">
        <v>76</v>
      </c>
      <c r="Z64" s="232">
        <v>107.5</v>
      </c>
      <c r="AA64" s="232">
        <v>22</v>
      </c>
      <c r="AB64" s="230" t="s">
        <v>531</v>
      </c>
      <c r="AD64" s="230"/>
      <c r="AE64" s="232"/>
      <c r="AF64" s="230"/>
    </row>
    <row r="65" spans="8:32" ht="12.75">
      <c r="H65" s="230"/>
      <c r="I65" s="231"/>
      <c r="J65" s="231"/>
      <c r="K65" s="231"/>
      <c r="M65" s="230"/>
      <c r="N65" s="232"/>
      <c r="O65" s="232"/>
      <c r="P65" s="231"/>
      <c r="R65" s="235"/>
      <c r="S65" s="234"/>
      <c r="T65" s="235"/>
      <c r="U65" s="235"/>
      <c r="V65" s="235"/>
      <c r="X65" s="230" t="s">
        <v>532</v>
      </c>
      <c r="Y65" s="232">
        <v>74</v>
      </c>
      <c r="Z65" s="232">
        <v>107.5</v>
      </c>
      <c r="AA65" s="232">
        <v>22</v>
      </c>
      <c r="AB65" s="230" t="s">
        <v>533</v>
      </c>
      <c r="AD65" s="230"/>
      <c r="AE65" s="232"/>
      <c r="AF65" s="230"/>
    </row>
    <row r="66" spans="8:32" ht="12.75">
      <c r="H66" s="230"/>
      <c r="I66" s="231"/>
      <c r="J66" s="231"/>
      <c r="K66" s="231"/>
      <c r="M66" s="230"/>
      <c r="N66" s="232"/>
      <c r="O66" s="232"/>
      <c r="P66" s="231"/>
      <c r="R66" s="235"/>
      <c r="S66" s="234"/>
      <c r="T66" s="235"/>
      <c r="U66" s="235"/>
      <c r="V66" s="235"/>
      <c r="X66" s="230" t="s">
        <v>534</v>
      </c>
      <c r="Y66" s="232">
        <v>77</v>
      </c>
      <c r="Z66" s="232">
        <v>107.5</v>
      </c>
      <c r="AA66" s="232">
        <v>21</v>
      </c>
      <c r="AB66" s="230" t="s">
        <v>535</v>
      </c>
      <c r="AD66" s="230"/>
      <c r="AE66" s="232"/>
      <c r="AF66" s="230"/>
    </row>
    <row r="67" spans="8:32" ht="12.75">
      <c r="H67" s="230"/>
      <c r="I67" s="231"/>
      <c r="J67" s="231"/>
      <c r="K67" s="231"/>
      <c r="M67" s="230"/>
      <c r="N67" s="232"/>
      <c r="O67" s="232"/>
      <c r="P67" s="231"/>
      <c r="R67" s="235"/>
      <c r="S67" s="234"/>
      <c r="T67" s="235"/>
      <c r="U67" s="235"/>
      <c r="V67" s="235"/>
      <c r="X67" s="230" t="s">
        <v>536</v>
      </c>
      <c r="Y67" s="232">
        <v>86</v>
      </c>
      <c r="Z67" s="232">
        <v>107.5</v>
      </c>
      <c r="AA67" s="232">
        <v>24</v>
      </c>
      <c r="AB67" s="230" t="s">
        <v>537</v>
      </c>
      <c r="AD67" s="230"/>
      <c r="AE67" s="232"/>
      <c r="AF67" s="230"/>
    </row>
    <row r="68" spans="8:32" ht="12.75">
      <c r="H68" s="230"/>
      <c r="I68" s="231"/>
      <c r="J68" s="231"/>
      <c r="K68" s="231"/>
      <c r="M68" s="230"/>
      <c r="N68" s="232"/>
      <c r="O68" s="232"/>
      <c r="P68" s="231"/>
      <c r="R68" s="235"/>
      <c r="S68" s="234"/>
      <c r="T68" s="235"/>
      <c r="U68" s="235"/>
      <c r="V68" s="235"/>
      <c r="X68" s="230" t="s">
        <v>538</v>
      </c>
      <c r="Y68" s="232">
        <v>80</v>
      </c>
      <c r="Z68" s="232">
        <v>107.5</v>
      </c>
      <c r="AA68" s="232">
        <v>23</v>
      </c>
      <c r="AB68" s="230" t="s">
        <v>539</v>
      </c>
      <c r="AD68" s="230"/>
      <c r="AE68" s="232"/>
      <c r="AF68" s="230"/>
    </row>
    <row r="69" spans="8:32" ht="12.75">
      <c r="H69" s="230"/>
      <c r="I69" s="231"/>
      <c r="J69" s="231"/>
      <c r="K69" s="231"/>
      <c r="M69" s="230"/>
      <c r="N69" s="232"/>
      <c r="O69" s="232"/>
      <c r="P69" s="231"/>
      <c r="R69" s="235"/>
      <c r="S69" s="234"/>
      <c r="T69" s="235"/>
      <c r="U69" s="235"/>
      <c r="V69" s="235"/>
      <c r="X69" s="230" t="s">
        <v>540</v>
      </c>
      <c r="Y69" s="232">
        <v>75</v>
      </c>
      <c r="Z69" s="232">
        <v>107.5</v>
      </c>
      <c r="AA69" s="232">
        <v>22</v>
      </c>
      <c r="AB69" s="230" t="s">
        <v>541</v>
      </c>
      <c r="AD69" s="230"/>
      <c r="AE69" s="232"/>
      <c r="AF69" s="230"/>
    </row>
    <row r="70" spans="8:32" ht="12.75">
      <c r="H70" s="230"/>
      <c r="I70" s="231"/>
      <c r="J70" s="231"/>
      <c r="K70" s="231"/>
      <c r="M70" s="230"/>
      <c r="N70" s="232"/>
      <c r="O70" s="232"/>
      <c r="P70" s="231"/>
      <c r="R70" s="235"/>
      <c r="S70" s="234"/>
      <c r="T70" s="235"/>
      <c r="U70" s="235"/>
      <c r="V70" s="235"/>
      <c r="X70" s="230" t="s">
        <v>542</v>
      </c>
      <c r="Y70" s="232">
        <v>79</v>
      </c>
      <c r="Z70" s="232">
        <v>107.5</v>
      </c>
      <c r="AA70" s="232">
        <v>20</v>
      </c>
      <c r="AB70" s="230" t="s">
        <v>543</v>
      </c>
      <c r="AD70" s="230"/>
      <c r="AE70" s="232"/>
      <c r="AF70" s="230"/>
    </row>
    <row r="71" spans="8:32" ht="12.75">
      <c r="H71" s="230"/>
      <c r="I71" s="231"/>
      <c r="J71" s="231"/>
      <c r="K71" s="231"/>
      <c r="M71" s="230"/>
      <c r="N71" s="232"/>
      <c r="O71" s="232"/>
      <c r="P71" s="231"/>
      <c r="R71" s="235"/>
      <c r="S71" s="234"/>
      <c r="T71" s="235"/>
      <c r="U71" s="235"/>
      <c r="V71" s="235"/>
      <c r="X71" s="230" t="s">
        <v>544</v>
      </c>
      <c r="Y71" s="232">
        <v>84</v>
      </c>
      <c r="Z71" s="232">
        <v>107.5</v>
      </c>
      <c r="AA71" s="232" t="s">
        <v>545</v>
      </c>
      <c r="AB71" s="230" t="s">
        <v>546</v>
      </c>
      <c r="AD71" s="230"/>
      <c r="AE71" s="232"/>
      <c r="AF71" s="230"/>
    </row>
    <row r="72" spans="8:32" ht="12.75">
      <c r="H72" s="230"/>
      <c r="I72" s="231"/>
      <c r="J72" s="231"/>
      <c r="K72" s="231"/>
      <c r="M72" s="230"/>
      <c r="N72" s="232"/>
      <c r="O72" s="232"/>
      <c r="P72" s="231"/>
      <c r="R72" s="235"/>
      <c r="S72" s="234"/>
      <c r="T72" s="235"/>
      <c r="U72" s="235"/>
      <c r="V72" s="235"/>
      <c r="X72" s="230" t="s">
        <v>547</v>
      </c>
      <c r="Y72" s="232">
        <v>84</v>
      </c>
      <c r="Z72" s="232">
        <v>107.5</v>
      </c>
      <c r="AA72" s="232" t="s">
        <v>548</v>
      </c>
      <c r="AB72" s="230" t="s">
        <v>549</v>
      </c>
      <c r="AD72" s="230"/>
      <c r="AE72" s="232"/>
      <c r="AF72" s="230"/>
    </row>
    <row r="73" spans="8:32" ht="12.75">
      <c r="H73" s="230"/>
      <c r="I73" s="231"/>
      <c r="J73" s="231"/>
      <c r="K73" s="231"/>
      <c r="M73" s="230"/>
      <c r="N73" s="232"/>
      <c r="O73" s="232"/>
      <c r="P73" s="231"/>
      <c r="R73" s="235"/>
      <c r="S73" s="234"/>
      <c r="T73" s="235"/>
      <c r="U73" s="235"/>
      <c r="V73" s="235"/>
      <c r="X73" s="230" t="s">
        <v>550</v>
      </c>
      <c r="Y73" s="232">
        <v>78</v>
      </c>
      <c r="Z73" s="232">
        <v>106</v>
      </c>
      <c r="AA73" s="232" t="s">
        <v>357</v>
      </c>
      <c r="AB73" s="230" t="s">
        <v>551</v>
      </c>
      <c r="AD73" s="230"/>
      <c r="AE73" s="232"/>
      <c r="AF73" s="230"/>
    </row>
    <row r="74" spans="8:32" ht="12.75">
      <c r="H74" s="230"/>
      <c r="I74" s="231"/>
      <c r="J74" s="231"/>
      <c r="K74" s="231"/>
      <c r="M74" s="230"/>
      <c r="N74" s="232"/>
      <c r="O74" s="232"/>
      <c r="P74" s="231"/>
      <c r="R74" s="235"/>
      <c r="S74" s="234"/>
      <c r="T74" s="235"/>
      <c r="U74" s="235"/>
      <c r="V74" s="235"/>
      <c r="X74" s="230" t="s">
        <v>552</v>
      </c>
      <c r="Y74" s="232">
        <v>78</v>
      </c>
      <c r="Z74" s="232">
        <v>107.5</v>
      </c>
      <c r="AA74" s="232" t="s">
        <v>545</v>
      </c>
      <c r="AB74" s="230" t="s">
        <v>553</v>
      </c>
      <c r="AD74" s="230"/>
      <c r="AE74" s="232"/>
      <c r="AF74" s="230"/>
    </row>
    <row r="75" spans="8:32" ht="12.75">
      <c r="H75" s="230"/>
      <c r="I75" s="231"/>
      <c r="J75" s="231"/>
      <c r="K75" s="231"/>
      <c r="M75" s="230"/>
      <c r="N75" s="232"/>
      <c r="O75" s="232"/>
      <c r="P75" s="231"/>
      <c r="R75" s="235"/>
      <c r="S75" s="234"/>
      <c r="T75" s="235"/>
      <c r="U75" s="235"/>
      <c r="V75" s="235"/>
      <c r="X75" s="230" t="s">
        <v>554</v>
      </c>
      <c r="Y75" s="232">
        <v>79</v>
      </c>
      <c r="Z75" s="232">
        <v>107.5</v>
      </c>
      <c r="AA75" s="232">
        <v>21</v>
      </c>
      <c r="AB75" s="257" t="s">
        <v>587</v>
      </c>
      <c r="AD75" s="230"/>
      <c r="AE75" s="232"/>
      <c r="AF75" s="230"/>
    </row>
    <row r="76" spans="8:32" ht="12.75">
      <c r="H76" s="230"/>
      <c r="I76" s="231"/>
      <c r="J76" s="231"/>
      <c r="K76" s="231"/>
      <c r="M76" s="230"/>
      <c r="N76" s="232"/>
      <c r="O76" s="232"/>
      <c r="P76" s="231"/>
      <c r="R76" s="235"/>
      <c r="S76" s="234"/>
      <c r="T76" s="235"/>
      <c r="U76" s="235"/>
      <c r="V76" s="235"/>
      <c r="X76" s="230" t="s">
        <v>555</v>
      </c>
      <c r="Y76" s="232">
        <v>74</v>
      </c>
      <c r="Z76" s="232">
        <v>107.5</v>
      </c>
      <c r="AA76" s="232">
        <v>20</v>
      </c>
      <c r="AB76" s="230" t="s">
        <v>556</v>
      </c>
      <c r="AD76" s="230"/>
      <c r="AE76" s="232"/>
      <c r="AF76" s="230"/>
    </row>
    <row r="77" spans="8:32" ht="12.75">
      <c r="H77" s="230"/>
      <c r="I77" s="231"/>
      <c r="J77" s="231"/>
      <c r="K77" s="231"/>
      <c r="M77" s="230"/>
      <c r="N77" s="232"/>
      <c r="O77" s="232"/>
      <c r="P77" s="231"/>
      <c r="R77" s="235"/>
      <c r="S77" s="234"/>
      <c r="T77" s="235"/>
      <c r="U77" s="235"/>
      <c r="V77" s="235"/>
      <c r="X77" s="230" t="s">
        <v>557</v>
      </c>
      <c r="Y77" s="232">
        <v>74</v>
      </c>
      <c r="Z77" s="232">
        <v>107.5</v>
      </c>
      <c r="AA77" s="232">
        <v>21</v>
      </c>
      <c r="AB77" s="230" t="s">
        <v>558</v>
      </c>
      <c r="AD77" s="230"/>
      <c r="AE77" s="232"/>
      <c r="AF77" s="230"/>
    </row>
    <row r="78" spans="8:32" ht="12.75">
      <c r="H78" s="230"/>
      <c r="I78" s="231"/>
      <c r="J78" s="231"/>
      <c r="K78" s="231"/>
      <c r="M78" s="230"/>
      <c r="N78" s="232"/>
      <c r="O78" s="232"/>
      <c r="P78" s="231"/>
      <c r="R78" s="235"/>
      <c r="S78" s="234"/>
      <c r="T78" s="235"/>
      <c r="U78" s="235"/>
      <c r="V78" s="235"/>
      <c r="X78" s="230" t="s">
        <v>559</v>
      </c>
      <c r="Y78" s="232">
        <v>85</v>
      </c>
      <c r="Z78" s="232">
        <v>107.5</v>
      </c>
      <c r="AA78" s="232">
        <v>22</v>
      </c>
      <c r="AB78" s="230" t="s">
        <v>560</v>
      </c>
      <c r="AD78" s="230"/>
      <c r="AE78" s="232"/>
      <c r="AF78" s="230"/>
    </row>
    <row r="79" spans="8:32" ht="12.75">
      <c r="H79" s="230"/>
      <c r="I79" s="231"/>
      <c r="J79" s="231"/>
      <c r="K79" s="231"/>
      <c r="M79" s="230"/>
      <c r="N79" s="232"/>
      <c r="O79" s="232"/>
      <c r="P79" s="231"/>
      <c r="R79" s="235"/>
      <c r="S79" s="234"/>
      <c r="T79" s="235"/>
      <c r="U79" s="235"/>
      <c r="V79" s="235"/>
      <c r="X79" s="230" t="s">
        <v>561</v>
      </c>
      <c r="Y79" s="232">
        <v>45</v>
      </c>
      <c r="Z79" s="232">
        <v>107.5</v>
      </c>
      <c r="AA79" s="232">
        <v>18</v>
      </c>
      <c r="AB79" s="230" t="s">
        <v>562</v>
      </c>
      <c r="AD79" s="230"/>
      <c r="AE79" s="232"/>
      <c r="AF79" s="230"/>
    </row>
    <row r="80" spans="8:32" ht="12.75">
      <c r="H80" s="230"/>
      <c r="I80" s="231"/>
      <c r="J80" s="231"/>
      <c r="K80" s="231"/>
      <c r="M80" s="230"/>
      <c r="N80" s="232"/>
      <c r="O80" s="232"/>
      <c r="P80" s="231"/>
      <c r="R80" s="235"/>
      <c r="S80" s="234"/>
      <c r="T80" s="235"/>
      <c r="U80" s="235"/>
      <c r="V80" s="235"/>
      <c r="X80" s="230"/>
      <c r="Y80" s="232"/>
      <c r="Z80" s="232"/>
      <c r="AA80" s="232"/>
      <c r="AB80" s="230"/>
      <c r="AD80" s="230"/>
      <c r="AE80" s="232"/>
      <c r="AF80" s="230"/>
    </row>
    <row r="81" spans="8:32" ht="12.75">
      <c r="H81" s="230"/>
      <c r="I81" s="231"/>
      <c r="J81" s="231"/>
      <c r="K81" s="231"/>
      <c r="M81" s="230"/>
      <c r="N81" s="232"/>
      <c r="O81" s="232"/>
      <c r="P81" s="231"/>
      <c r="R81" s="235"/>
      <c r="S81" s="234"/>
      <c r="T81" s="235"/>
      <c r="U81" s="235"/>
      <c r="V81" s="235"/>
      <c r="X81" s="230"/>
      <c r="Y81" s="232"/>
      <c r="Z81" s="232"/>
      <c r="AA81" s="232"/>
      <c r="AB81" s="230"/>
      <c r="AD81" s="230"/>
      <c r="AE81" s="232"/>
      <c r="AF81" s="230"/>
    </row>
    <row r="82" spans="8:32" ht="12.75">
      <c r="H82" s="230"/>
      <c r="I82" s="231"/>
      <c r="J82" s="231"/>
      <c r="K82" s="231"/>
      <c r="M82" s="230"/>
      <c r="N82" s="232"/>
      <c r="O82" s="232"/>
      <c r="P82" s="231"/>
      <c r="R82" s="235"/>
      <c r="S82" s="234"/>
      <c r="T82" s="235"/>
      <c r="U82" s="235"/>
      <c r="V82" s="235"/>
      <c r="X82" s="230"/>
      <c r="Y82" s="232"/>
      <c r="Z82" s="232"/>
      <c r="AA82" s="232"/>
      <c r="AB82" s="230"/>
      <c r="AD82" s="230"/>
      <c r="AE82" s="232"/>
      <c r="AF82" s="230"/>
    </row>
    <row r="83" spans="8:32" ht="12.75">
      <c r="H83" s="230"/>
      <c r="I83" s="231"/>
      <c r="J83" s="231"/>
      <c r="K83" s="231"/>
      <c r="M83" s="230"/>
      <c r="N83" s="232"/>
      <c r="O83" s="232"/>
      <c r="P83" s="231"/>
      <c r="R83" s="235"/>
      <c r="S83" s="234"/>
      <c r="T83" s="235"/>
      <c r="U83" s="235"/>
      <c r="V83" s="235"/>
      <c r="X83" s="230"/>
      <c r="Y83" s="232"/>
      <c r="Z83" s="232"/>
      <c r="AA83" s="232"/>
      <c r="AB83" s="230"/>
      <c r="AD83" s="230"/>
      <c r="AE83" s="232"/>
      <c r="AF83" s="230"/>
    </row>
    <row r="84" spans="8:32" ht="12.75">
      <c r="H84" s="230"/>
      <c r="I84" s="231"/>
      <c r="J84" s="231"/>
      <c r="K84" s="231"/>
      <c r="M84" s="230"/>
      <c r="N84" s="232"/>
      <c r="O84" s="232"/>
      <c r="P84" s="231"/>
      <c r="R84" s="235"/>
      <c r="S84" s="234"/>
      <c r="T84" s="235"/>
      <c r="U84" s="235"/>
      <c r="V84" s="235"/>
      <c r="X84" s="230"/>
      <c r="Y84" s="232"/>
      <c r="Z84" s="232"/>
      <c r="AA84" s="232"/>
      <c r="AB84" s="230"/>
      <c r="AD84" s="230"/>
      <c r="AE84" s="232"/>
      <c r="AF84" s="230"/>
    </row>
    <row r="85" spans="8:32" ht="12.75">
      <c r="H85" s="230"/>
      <c r="I85" s="231"/>
      <c r="J85" s="231"/>
      <c r="K85" s="231"/>
      <c r="M85" s="230"/>
      <c r="N85" s="232"/>
      <c r="O85" s="232"/>
      <c r="P85" s="231"/>
      <c r="R85" s="235"/>
      <c r="S85" s="234"/>
      <c r="T85" s="235"/>
      <c r="U85" s="235"/>
      <c r="V85" s="235"/>
      <c r="X85" s="230"/>
      <c r="Y85" s="232"/>
      <c r="Z85" s="232"/>
      <c r="AA85" s="232"/>
      <c r="AB85" s="230"/>
      <c r="AD85" s="230"/>
      <c r="AE85" s="232"/>
      <c r="AF85" s="230"/>
    </row>
    <row r="86" spans="8:32" ht="12.75">
      <c r="H86" s="230"/>
      <c r="I86" s="231"/>
      <c r="J86" s="231"/>
      <c r="K86" s="231"/>
      <c r="M86" s="230"/>
      <c r="N86" s="232"/>
      <c r="O86" s="232"/>
      <c r="P86" s="231"/>
      <c r="R86" s="235"/>
      <c r="S86" s="234"/>
      <c r="T86" s="235"/>
      <c r="U86" s="235"/>
      <c r="V86" s="235"/>
      <c r="X86" s="230"/>
      <c r="Y86" s="232"/>
      <c r="Z86" s="232"/>
      <c r="AA86" s="232"/>
      <c r="AB86" s="230"/>
      <c r="AD86" s="230"/>
      <c r="AE86" s="232"/>
      <c r="AF86" s="230"/>
    </row>
    <row r="87" spans="8:32" ht="12.75">
      <c r="H87" s="230"/>
      <c r="I87" s="231"/>
      <c r="J87" s="231"/>
      <c r="K87" s="231"/>
      <c r="M87" s="230"/>
      <c r="N87" s="232"/>
      <c r="O87" s="232"/>
      <c r="P87" s="231"/>
      <c r="R87" s="235"/>
      <c r="S87" s="234"/>
      <c r="T87" s="235"/>
      <c r="U87" s="235"/>
      <c r="V87" s="235"/>
      <c r="X87" s="230"/>
      <c r="Y87" s="232"/>
      <c r="Z87" s="232"/>
      <c r="AA87" s="232"/>
      <c r="AB87" s="230"/>
      <c r="AD87" s="230"/>
      <c r="AE87" s="232"/>
      <c r="AF87" s="230"/>
    </row>
    <row r="88" spans="8:32" ht="12.75">
      <c r="H88" s="230"/>
      <c r="I88" s="231"/>
      <c r="J88" s="231"/>
      <c r="K88" s="231"/>
      <c r="M88" s="230"/>
      <c r="N88" s="232"/>
      <c r="O88" s="232"/>
      <c r="P88" s="231"/>
      <c r="R88" s="235"/>
      <c r="S88" s="234"/>
      <c r="T88" s="235"/>
      <c r="U88" s="235"/>
      <c r="V88" s="235"/>
      <c r="X88" s="230"/>
      <c r="Y88" s="232"/>
      <c r="Z88" s="232"/>
      <c r="AA88" s="232"/>
      <c r="AB88" s="230"/>
      <c r="AD88" s="230"/>
      <c r="AE88" s="232"/>
      <c r="AF88" s="230"/>
    </row>
    <row r="89" spans="8:32" ht="12.75">
      <c r="H89" s="230"/>
      <c r="I89" s="231"/>
      <c r="J89" s="231"/>
      <c r="K89" s="231"/>
      <c r="M89" s="230"/>
      <c r="N89" s="232"/>
      <c r="O89" s="232"/>
      <c r="P89" s="231"/>
      <c r="R89" s="235"/>
      <c r="S89" s="234"/>
      <c r="T89" s="235"/>
      <c r="U89" s="235"/>
      <c r="V89" s="235"/>
      <c r="X89" s="230"/>
      <c r="Y89" s="232"/>
      <c r="Z89" s="232"/>
      <c r="AA89" s="232"/>
      <c r="AB89" s="230"/>
      <c r="AD89" s="230"/>
      <c r="AE89" s="232"/>
      <c r="AF89" s="230"/>
    </row>
    <row r="90" spans="8:32" ht="12.75">
      <c r="H90" s="230"/>
      <c r="I90" s="231"/>
      <c r="J90" s="231"/>
      <c r="K90" s="231"/>
      <c r="M90" s="230"/>
      <c r="N90" s="232"/>
      <c r="O90" s="232"/>
      <c r="P90" s="231"/>
      <c r="R90" s="235"/>
      <c r="S90" s="234"/>
      <c r="T90" s="235"/>
      <c r="U90" s="235"/>
      <c r="V90" s="235"/>
      <c r="X90" s="230"/>
      <c r="Y90" s="232"/>
      <c r="Z90" s="232"/>
      <c r="AA90" s="232"/>
      <c r="AB90" s="230"/>
      <c r="AD90" s="230"/>
      <c r="AE90" s="232"/>
      <c r="AF90" s="230"/>
    </row>
    <row r="91" spans="8:32" ht="12.75">
      <c r="H91" s="230"/>
      <c r="I91" s="231"/>
      <c r="J91" s="231"/>
      <c r="K91" s="231"/>
      <c r="M91" s="230"/>
      <c r="N91" s="232"/>
      <c r="O91" s="232"/>
      <c r="P91" s="231"/>
      <c r="R91" s="235"/>
      <c r="S91" s="234"/>
      <c r="T91" s="235"/>
      <c r="U91" s="235"/>
      <c r="V91" s="235"/>
      <c r="X91" s="230"/>
      <c r="Y91" s="232"/>
      <c r="Z91" s="232"/>
      <c r="AA91" s="232"/>
      <c r="AB91" s="230"/>
      <c r="AD91" s="230"/>
      <c r="AE91" s="232"/>
      <c r="AF91" s="230"/>
    </row>
    <row r="92" spans="8:32" ht="12.75">
      <c r="H92" s="230"/>
      <c r="I92" s="231"/>
      <c r="J92" s="231"/>
      <c r="K92" s="231"/>
      <c r="M92" s="230"/>
      <c r="N92" s="232"/>
      <c r="O92" s="232"/>
      <c r="P92" s="231"/>
      <c r="R92" s="235"/>
      <c r="S92" s="234"/>
      <c r="T92" s="235"/>
      <c r="U92" s="235"/>
      <c r="V92" s="235"/>
      <c r="X92" s="230"/>
      <c r="Y92" s="232"/>
      <c r="Z92" s="232"/>
      <c r="AA92" s="232"/>
      <c r="AB92" s="230"/>
      <c r="AD92" s="230"/>
      <c r="AE92" s="232"/>
      <c r="AF92" s="230"/>
    </row>
    <row r="93" spans="8:32" ht="12.75">
      <c r="H93" s="230"/>
      <c r="I93" s="231"/>
      <c r="J93" s="231"/>
      <c r="K93" s="231"/>
      <c r="M93" s="230"/>
      <c r="N93" s="232"/>
      <c r="O93" s="232"/>
      <c r="P93" s="231"/>
      <c r="R93" s="235"/>
      <c r="S93" s="234"/>
      <c r="T93" s="235"/>
      <c r="U93" s="235"/>
      <c r="V93" s="235"/>
      <c r="X93" s="230"/>
      <c r="Y93" s="232"/>
      <c r="Z93" s="232"/>
      <c r="AA93" s="232"/>
      <c r="AB93" s="230"/>
      <c r="AD93" s="230"/>
      <c r="AE93" s="232"/>
      <c r="AF93" s="230"/>
    </row>
    <row r="94" spans="8:32" ht="12.75">
      <c r="H94" s="230"/>
      <c r="I94" s="231"/>
      <c r="J94" s="231"/>
      <c r="K94" s="231"/>
      <c r="M94" s="230"/>
      <c r="N94" s="232"/>
      <c r="O94" s="232"/>
      <c r="P94" s="231"/>
      <c r="R94" s="235"/>
      <c r="S94" s="234"/>
      <c r="T94" s="235"/>
      <c r="U94" s="235"/>
      <c r="V94" s="235"/>
      <c r="X94" s="230"/>
      <c r="Y94" s="232"/>
      <c r="Z94" s="232"/>
      <c r="AA94" s="232"/>
      <c r="AB94" s="230"/>
      <c r="AD94" s="230"/>
      <c r="AE94" s="232"/>
      <c r="AF94" s="230"/>
    </row>
    <row r="95" spans="8:32" ht="12.75">
      <c r="H95" s="230"/>
      <c r="I95" s="231"/>
      <c r="J95" s="231"/>
      <c r="K95" s="231"/>
      <c r="M95" s="230"/>
      <c r="N95" s="232"/>
      <c r="O95" s="232"/>
      <c r="P95" s="231"/>
      <c r="R95" s="235"/>
      <c r="S95" s="234"/>
      <c r="T95" s="235"/>
      <c r="U95" s="235"/>
      <c r="V95" s="235"/>
      <c r="X95" s="230"/>
      <c r="Y95" s="232"/>
      <c r="Z95" s="232"/>
      <c r="AA95" s="232"/>
      <c r="AB95" s="230"/>
      <c r="AD95" s="230"/>
      <c r="AE95" s="232"/>
      <c r="AF95" s="230"/>
    </row>
    <row r="96" spans="8:32" ht="12.75">
      <c r="H96" s="230"/>
      <c r="I96" s="231"/>
      <c r="J96" s="231"/>
      <c r="K96" s="231"/>
      <c r="M96" s="230"/>
      <c r="N96" s="232"/>
      <c r="O96" s="232"/>
      <c r="P96" s="231"/>
      <c r="R96" s="235"/>
      <c r="S96" s="234"/>
      <c r="T96" s="235"/>
      <c r="U96" s="235"/>
      <c r="V96" s="235"/>
      <c r="X96" s="230"/>
      <c r="Y96" s="232"/>
      <c r="Z96" s="232"/>
      <c r="AA96" s="232"/>
      <c r="AB96" s="230"/>
      <c r="AD96" s="230"/>
      <c r="AE96" s="232"/>
      <c r="AF96" s="230"/>
    </row>
    <row r="97" spans="8:32" ht="12.75">
      <c r="H97" s="230"/>
      <c r="I97" s="231"/>
      <c r="J97" s="231"/>
      <c r="K97" s="231"/>
      <c r="M97" s="230"/>
      <c r="N97" s="232"/>
      <c r="O97" s="232"/>
      <c r="P97" s="231"/>
      <c r="R97" s="235"/>
      <c r="S97" s="234"/>
      <c r="T97" s="235"/>
      <c r="U97" s="235"/>
      <c r="V97" s="235"/>
      <c r="X97" s="230"/>
      <c r="Y97" s="232"/>
      <c r="Z97" s="232"/>
      <c r="AA97" s="232"/>
      <c r="AB97" s="230"/>
      <c r="AD97" s="230"/>
      <c r="AE97" s="232"/>
      <c r="AF97" s="230"/>
    </row>
    <row r="98" spans="8:32" ht="12.75">
      <c r="H98" s="230"/>
      <c r="I98" s="231"/>
      <c r="J98" s="231"/>
      <c r="K98" s="231"/>
      <c r="M98" s="230"/>
      <c r="N98" s="232"/>
      <c r="O98" s="232"/>
      <c r="P98" s="231"/>
      <c r="R98" s="235"/>
      <c r="S98" s="234"/>
      <c r="T98" s="235"/>
      <c r="U98" s="235"/>
      <c r="V98" s="235"/>
      <c r="X98" s="230"/>
      <c r="Y98" s="232"/>
      <c r="Z98" s="232"/>
      <c r="AA98" s="232"/>
      <c r="AB98" s="230"/>
      <c r="AD98" s="230"/>
      <c r="AE98" s="232"/>
      <c r="AF98" s="230"/>
    </row>
    <row r="99" spans="8:32" ht="12.75">
      <c r="H99" s="230"/>
      <c r="I99" s="231"/>
      <c r="J99" s="231"/>
      <c r="K99" s="231"/>
      <c r="M99" s="230"/>
      <c r="N99" s="232"/>
      <c r="O99" s="232"/>
      <c r="P99" s="231"/>
      <c r="R99" s="235"/>
      <c r="S99" s="234"/>
      <c r="T99" s="235"/>
      <c r="U99" s="235"/>
      <c r="V99" s="235"/>
      <c r="X99" s="230"/>
      <c r="Y99" s="232"/>
      <c r="Z99" s="232"/>
      <c r="AA99" s="232"/>
      <c r="AB99" s="230"/>
      <c r="AD99" s="230"/>
      <c r="AE99" s="232"/>
      <c r="AF99" s="230"/>
    </row>
    <row r="100" spans="8:32" ht="12.75">
      <c r="H100" s="230"/>
      <c r="I100" s="231"/>
      <c r="J100" s="231"/>
      <c r="K100" s="231"/>
      <c r="M100" s="230"/>
      <c r="N100" s="232"/>
      <c r="O100" s="232"/>
      <c r="P100" s="231"/>
      <c r="R100" s="235"/>
      <c r="S100" s="234"/>
      <c r="T100" s="235"/>
      <c r="U100" s="235"/>
      <c r="V100" s="235"/>
      <c r="X100" s="230"/>
      <c r="Y100" s="232"/>
      <c r="Z100" s="232"/>
      <c r="AA100" s="232"/>
      <c r="AB100" s="230"/>
      <c r="AD100" s="230"/>
      <c r="AE100" s="232"/>
      <c r="AF100" s="230"/>
    </row>
    <row r="101" spans="8:32" ht="12.75">
      <c r="H101" s="230"/>
      <c r="I101" s="231"/>
      <c r="J101" s="231"/>
      <c r="K101" s="231"/>
      <c r="R101" s="235"/>
      <c r="S101" s="234"/>
      <c r="T101" s="235"/>
      <c r="U101" s="235"/>
      <c r="V101" s="235"/>
      <c r="X101" s="230"/>
      <c r="Y101" s="232"/>
      <c r="Z101" s="232"/>
      <c r="AA101" s="232"/>
      <c r="AB101" s="230"/>
      <c r="AD101" s="230"/>
      <c r="AE101" s="232"/>
      <c r="AF101" s="230"/>
    </row>
    <row r="102" spans="8:32" ht="12.75">
      <c r="H102" s="230"/>
      <c r="I102" s="231"/>
      <c r="J102" s="231"/>
      <c r="K102" s="231"/>
      <c r="R102" s="235"/>
      <c r="S102" s="234"/>
      <c r="T102" s="235"/>
      <c r="U102" s="235"/>
      <c r="V102" s="235"/>
      <c r="X102" s="230"/>
      <c r="Y102" s="232"/>
      <c r="Z102" s="232"/>
      <c r="AA102" s="232"/>
      <c r="AB102" s="230"/>
      <c r="AD102" s="230"/>
      <c r="AE102" s="232"/>
      <c r="AF102" s="230"/>
    </row>
    <row r="103" spans="8:32" ht="12.75">
      <c r="H103" s="230"/>
      <c r="I103" s="231"/>
      <c r="J103" s="231"/>
      <c r="K103" s="231"/>
      <c r="R103" s="235"/>
      <c r="S103" s="234"/>
      <c r="T103" s="235"/>
      <c r="U103" s="235"/>
      <c r="V103" s="235"/>
      <c r="X103" s="230"/>
      <c r="Y103" s="232"/>
      <c r="Z103" s="232"/>
      <c r="AA103" s="232"/>
      <c r="AB103" s="230"/>
      <c r="AD103" s="230"/>
      <c r="AE103" s="232"/>
      <c r="AF103" s="230"/>
    </row>
    <row r="104" spans="8:32" ht="12.75">
      <c r="H104" s="230"/>
      <c r="I104" s="231"/>
      <c r="J104" s="231"/>
      <c r="K104" s="231"/>
      <c r="R104" s="235"/>
      <c r="S104" s="234"/>
      <c r="T104" s="235"/>
      <c r="U104" s="235"/>
      <c r="V104" s="235"/>
      <c r="X104" s="230"/>
      <c r="Y104" s="232"/>
      <c r="Z104" s="232"/>
      <c r="AA104" s="232"/>
      <c r="AB104" s="230"/>
      <c r="AD104" s="230"/>
      <c r="AE104" s="232"/>
      <c r="AF104" s="230"/>
    </row>
    <row r="105" spans="8:32" ht="12.75">
      <c r="H105" s="230"/>
      <c r="I105" s="231"/>
      <c r="J105" s="231"/>
      <c r="K105" s="231"/>
      <c r="R105" s="235"/>
      <c r="S105" s="234"/>
      <c r="T105" s="235"/>
      <c r="U105" s="235"/>
      <c r="V105" s="235"/>
      <c r="X105" s="230"/>
      <c r="Y105" s="232"/>
      <c r="Z105" s="232"/>
      <c r="AA105" s="232"/>
      <c r="AB105" s="230"/>
      <c r="AD105" s="230"/>
      <c r="AE105" s="232"/>
      <c r="AF105" s="230"/>
    </row>
    <row r="106" spans="8:32" ht="12.75">
      <c r="H106" s="230"/>
      <c r="I106" s="231"/>
      <c r="J106" s="231"/>
      <c r="K106" s="231"/>
      <c r="R106" s="235"/>
      <c r="S106" s="234"/>
      <c r="T106" s="235"/>
      <c r="U106" s="235"/>
      <c r="V106" s="235"/>
      <c r="X106" s="230"/>
      <c r="Y106" s="232"/>
      <c r="Z106" s="232"/>
      <c r="AA106" s="232"/>
      <c r="AB106" s="230"/>
      <c r="AD106" s="230"/>
      <c r="AE106" s="232"/>
      <c r="AF106" s="230"/>
    </row>
    <row r="107" spans="8:32" ht="12.75">
      <c r="H107" s="230"/>
      <c r="I107" s="231"/>
      <c r="J107" s="231"/>
      <c r="K107" s="231"/>
      <c r="R107" s="235"/>
      <c r="S107" s="234"/>
      <c r="T107" s="235"/>
      <c r="U107" s="235"/>
      <c r="V107" s="235"/>
      <c r="X107" s="230"/>
      <c r="Y107" s="232"/>
      <c r="Z107" s="232"/>
      <c r="AA107" s="232"/>
      <c r="AB107" s="230"/>
      <c r="AD107" s="230"/>
      <c r="AE107" s="232"/>
      <c r="AF107" s="230"/>
    </row>
    <row r="108" spans="8:32" ht="12.75">
      <c r="H108" s="230"/>
      <c r="I108" s="231"/>
      <c r="J108" s="231"/>
      <c r="K108" s="231"/>
      <c r="R108" s="235"/>
      <c r="S108" s="234"/>
      <c r="T108" s="235"/>
      <c r="U108" s="235"/>
      <c r="V108" s="235"/>
      <c r="X108" s="230"/>
      <c r="Y108" s="232"/>
      <c r="Z108" s="232"/>
      <c r="AA108" s="232"/>
      <c r="AB108" s="230"/>
      <c r="AD108" s="230"/>
      <c r="AE108" s="232"/>
      <c r="AF108" s="230"/>
    </row>
    <row r="109" spans="8:32" ht="12.75">
      <c r="H109" s="230"/>
      <c r="I109" s="231"/>
      <c r="J109" s="231"/>
      <c r="K109" s="231"/>
      <c r="R109" s="235"/>
      <c r="S109" s="234"/>
      <c r="T109" s="235"/>
      <c r="U109" s="235"/>
      <c r="V109" s="235"/>
      <c r="X109" s="230"/>
      <c r="Y109" s="232"/>
      <c r="Z109" s="232"/>
      <c r="AA109" s="232"/>
      <c r="AB109" s="230"/>
      <c r="AD109" s="230"/>
      <c r="AE109" s="232"/>
      <c r="AF109" s="230"/>
    </row>
    <row r="110" spans="8:32" ht="12.75">
      <c r="H110" s="230"/>
      <c r="I110" s="231"/>
      <c r="J110" s="231"/>
      <c r="K110" s="231"/>
      <c r="R110" s="235"/>
      <c r="S110" s="234"/>
      <c r="T110" s="235"/>
      <c r="U110" s="235"/>
      <c r="V110" s="235"/>
      <c r="X110" s="230"/>
      <c r="Y110" s="232"/>
      <c r="Z110" s="232"/>
      <c r="AA110" s="232"/>
      <c r="AB110" s="230"/>
      <c r="AD110" s="230"/>
      <c r="AE110" s="232"/>
      <c r="AF110" s="230"/>
    </row>
    <row r="111" spans="8:32" ht="12.75">
      <c r="H111" s="230"/>
      <c r="I111" s="231"/>
      <c r="J111" s="231"/>
      <c r="K111" s="231"/>
      <c r="R111" s="235"/>
      <c r="S111" s="234"/>
      <c r="T111" s="235"/>
      <c r="U111" s="235"/>
      <c r="V111" s="235"/>
      <c r="X111" s="230"/>
      <c r="Y111" s="232"/>
      <c r="Z111" s="232"/>
      <c r="AA111" s="232"/>
      <c r="AB111" s="230"/>
      <c r="AD111" s="230"/>
      <c r="AE111" s="232"/>
      <c r="AF111" s="230"/>
    </row>
    <row r="112" spans="8:32" ht="12.75">
      <c r="H112" s="230"/>
      <c r="I112" s="231"/>
      <c r="J112" s="231"/>
      <c r="K112" s="231"/>
      <c r="R112" s="235"/>
      <c r="S112" s="234"/>
      <c r="T112" s="235"/>
      <c r="U112" s="235"/>
      <c r="V112" s="235"/>
      <c r="X112" s="230"/>
      <c r="Y112" s="232"/>
      <c r="Z112" s="232"/>
      <c r="AA112" s="232"/>
      <c r="AB112" s="230"/>
      <c r="AD112" s="230"/>
      <c r="AE112" s="232"/>
      <c r="AF112" s="230"/>
    </row>
    <row r="113" spans="8:32" ht="12.75">
      <c r="H113" s="230"/>
      <c r="I113" s="231"/>
      <c r="J113" s="231"/>
      <c r="K113" s="231"/>
      <c r="R113" s="235"/>
      <c r="S113" s="234"/>
      <c r="T113" s="235"/>
      <c r="U113" s="235"/>
      <c r="V113" s="235"/>
      <c r="X113" s="230"/>
      <c r="Y113" s="232"/>
      <c r="Z113" s="232"/>
      <c r="AA113" s="232"/>
      <c r="AB113" s="230"/>
      <c r="AD113" s="230"/>
      <c r="AE113" s="232"/>
      <c r="AF113" s="230"/>
    </row>
    <row r="114" spans="8:32" ht="12.75">
      <c r="H114" s="230"/>
      <c r="I114" s="231"/>
      <c r="J114" s="231"/>
      <c r="K114" s="231"/>
      <c r="R114" s="235"/>
      <c r="S114" s="234"/>
      <c r="T114" s="235"/>
      <c r="U114" s="235"/>
      <c r="V114" s="235"/>
      <c r="X114" s="230"/>
      <c r="Y114" s="232"/>
      <c r="Z114" s="232"/>
      <c r="AA114" s="232"/>
      <c r="AB114" s="230"/>
      <c r="AD114" s="230"/>
      <c r="AE114" s="232"/>
      <c r="AF114" s="230"/>
    </row>
    <row r="115" spans="8:32" ht="12.75">
      <c r="H115" s="230"/>
      <c r="I115" s="231"/>
      <c r="J115" s="231"/>
      <c r="K115" s="231"/>
      <c r="R115" s="235"/>
      <c r="S115" s="234"/>
      <c r="T115" s="235"/>
      <c r="U115" s="235"/>
      <c r="V115" s="235"/>
      <c r="X115" s="230"/>
      <c r="Y115" s="232"/>
      <c r="Z115" s="232"/>
      <c r="AA115" s="232"/>
      <c r="AB115" s="230"/>
      <c r="AD115" s="230"/>
      <c r="AE115" s="232"/>
      <c r="AF115" s="230"/>
    </row>
    <row r="116" spans="8:32" ht="12.75">
      <c r="H116" s="230"/>
      <c r="I116" s="231"/>
      <c r="J116" s="231"/>
      <c r="K116" s="231"/>
      <c r="R116" s="235"/>
      <c r="S116" s="234"/>
      <c r="T116" s="235"/>
      <c r="U116" s="235"/>
      <c r="V116" s="235"/>
      <c r="X116" s="230"/>
      <c r="Y116" s="232"/>
      <c r="Z116" s="232"/>
      <c r="AA116" s="232"/>
      <c r="AB116" s="230"/>
      <c r="AD116" s="230"/>
      <c r="AE116" s="232"/>
      <c r="AF116" s="230"/>
    </row>
    <row r="117" spans="8:32" ht="12.75">
      <c r="H117" s="230"/>
      <c r="I117" s="231"/>
      <c r="J117" s="231"/>
      <c r="K117" s="231"/>
      <c r="R117" s="235"/>
      <c r="S117" s="234"/>
      <c r="T117" s="235"/>
      <c r="U117" s="235"/>
      <c r="V117" s="235"/>
      <c r="X117" s="230"/>
      <c r="Y117" s="232"/>
      <c r="Z117" s="232"/>
      <c r="AA117" s="232"/>
      <c r="AB117" s="230"/>
      <c r="AD117" s="230"/>
      <c r="AE117" s="232"/>
      <c r="AF117" s="230"/>
    </row>
    <row r="118" spans="8:32" ht="12.75">
      <c r="H118" s="230"/>
      <c r="I118" s="231"/>
      <c r="J118" s="231"/>
      <c r="K118" s="231"/>
      <c r="R118" s="235"/>
      <c r="S118" s="234"/>
      <c r="T118" s="235"/>
      <c r="U118" s="235"/>
      <c r="V118" s="235"/>
      <c r="X118" s="230"/>
      <c r="Y118" s="232"/>
      <c r="Z118" s="232"/>
      <c r="AA118" s="232"/>
      <c r="AB118" s="230"/>
      <c r="AD118" s="230"/>
      <c r="AE118" s="232"/>
      <c r="AF118" s="230"/>
    </row>
    <row r="119" spans="8:32" ht="12.75">
      <c r="H119" s="230"/>
      <c r="I119" s="231"/>
      <c r="J119" s="231"/>
      <c r="K119" s="231"/>
      <c r="R119" s="235"/>
      <c r="S119" s="234"/>
      <c r="T119" s="235"/>
      <c r="U119" s="235"/>
      <c r="V119" s="235"/>
      <c r="X119" s="230"/>
      <c r="Y119" s="232"/>
      <c r="Z119" s="232"/>
      <c r="AA119" s="232"/>
      <c r="AB119" s="230"/>
      <c r="AD119" s="230"/>
      <c r="AE119" s="232"/>
      <c r="AF119" s="230"/>
    </row>
    <row r="120" spans="8:32" ht="12.75">
      <c r="H120" s="230"/>
      <c r="I120" s="231"/>
      <c r="J120" s="231"/>
      <c r="K120" s="231"/>
      <c r="R120" s="235"/>
      <c r="S120" s="234"/>
      <c r="T120" s="235"/>
      <c r="U120" s="235"/>
      <c r="V120" s="235"/>
      <c r="X120" s="230"/>
      <c r="Y120" s="232"/>
      <c r="Z120" s="232"/>
      <c r="AA120" s="232"/>
      <c r="AB120" s="230"/>
      <c r="AD120" s="230"/>
      <c r="AE120" s="232"/>
      <c r="AF120" s="230"/>
    </row>
    <row r="121" spans="8:32" ht="12.75">
      <c r="H121" s="230"/>
      <c r="I121" s="231"/>
      <c r="J121" s="231"/>
      <c r="K121" s="231"/>
      <c r="R121" s="235"/>
      <c r="S121" s="234"/>
      <c r="T121" s="235"/>
      <c r="U121" s="235"/>
      <c r="V121" s="235"/>
      <c r="X121" s="230"/>
      <c r="Y121" s="232"/>
      <c r="Z121" s="232"/>
      <c r="AA121" s="232"/>
      <c r="AB121" s="230"/>
      <c r="AD121" s="230"/>
      <c r="AE121" s="232"/>
      <c r="AF121" s="230"/>
    </row>
    <row r="122" spans="8:32" ht="12.75">
      <c r="H122" s="230"/>
      <c r="I122" s="231"/>
      <c r="J122" s="231"/>
      <c r="K122" s="231"/>
      <c r="R122" s="235"/>
      <c r="S122" s="234"/>
      <c r="T122" s="235"/>
      <c r="U122" s="235"/>
      <c r="V122" s="235"/>
      <c r="X122" s="230"/>
      <c r="Y122" s="232"/>
      <c r="Z122" s="232"/>
      <c r="AA122" s="232"/>
      <c r="AB122" s="230"/>
      <c r="AD122" s="230"/>
      <c r="AE122" s="232"/>
      <c r="AF122" s="230"/>
    </row>
    <row r="123" spans="8:32" ht="12.75">
      <c r="H123" s="230"/>
      <c r="I123" s="231"/>
      <c r="J123" s="231"/>
      <c r="K123" s="231"/>
      <c r="R123" s="235"/>
      <c r="S123" s="234"/>
      <c r="T123" s="235"/>
      <c r="U123" s="235"/>
      <c r="V123" s="235"/>
      <c r="X123" s="230"/>
      <c r="Y123" s="232"/>
      <c r="Z123" s="232"/>
      <c r="AA123" s="232"/>
      <c r="AB123" s="230"/>
      <c r="AD123" s="230"/>
      <c r="AE123" s="232"/>
      <c r="AF123" s="230"/>
    </row>
    <row r="124" spans="8:32" ht="12.75">
      <c r="H124" s="230"/>
      <c r="I124" s="231"/>
      <c r="J124" s="231"/>
      <c r="K124" s="231"/>
      <c r="R124" s="235"/>
      <c r="S124" s="234"/>
      <c r="T124" s="235"/>
      <c r="U124" s="235"/>
      <c r="V124" s="235"/>
      <c r="X124" s="230"/>
      <c r="Y124" s="232"/>
      <c r="Z124" s="232"/>
      <c r="AA124" s="232"/>
      <c r="AB124" s="230"/>
      <c r="AD124" s="230"/>
      <c r="AE124" s="232"/>
      <c r="AF124" s="230"/>
    </row>
    <row r="125" spans="8:32" ht="12.75">
      <c r="H125" s="230"/>
      <c r="I125" s="231"/>
      <c r="J125" s="231"/>
      <c r="K125" s="231"/>
      <c r="R125" s="235"/>
      <c r="S125" s="234"/>
      <c r="T125" s="235"/>
      <c r="U125" s="235"/>
      <c r="V125" s="235"/>
      <c r="X125" s="230"/>
      <c r="Y125" s="232"/>
      <c r="Z125" s="232"/>
      <c r="AA125" s="232"/>
      <c r="AB125" s="230"/>
      <c r="AD125" s="230"/>
      <c r="AE125" s="232"/>
      <c r="AF125" s="230"/>
    </row>
    <row r="126" spans="8:32" ht="12.75">
      <c r="H126" s="230"/>
      <c r="I126" s="231"/>
      <c r="J126" s="231"/>
      <c r="K126" s="231"/>
      <c r="R126" s="235"/>
      <c r="S126" s="234"/>
      <c r="T126" s="235"/>
      <c r="U126" s="235"/>
      <c r="V126" s="235"/>
      <c r="X126" s="230"/>
      <c r="Y126" s="232"/>
      <c r="Z126" s="232"/>
      <c r="AA126" s="232"/>
      <c r="AB126" s="230"/>
      <c r="AD126" s="230"/>
      <c r="AE126" s="232"/>
      <c r="AF126" s="230"/>
    </row>
    <row r="127" spans="8:32" ht="12.75">
      <c r="H127" s="230"/>
      <c r="I127" s="231"/>
      <c r="J127" s="231"/>
      <c r="K127" s="231"/>
      <c r="R127" s="235"/>
      <c r="S127" s="234"/>
      <c r="T127" s="235"/>
      <c r="U127" s="235"/>
      <c r="V127" s="235"/>
      <c r="X127" s="230"/>
      <c r="Y127" s="232"/>
      <c r="Z127" s="232"/>
      <c r="AA127" s="232"/>
      <c r="AB127" s="230"/>
      <c r="AD127" s="230"/>
      <c r="AE127" s="232"/>
      <c r="AF127" s="230"/>
    </row>
    <row r="128" spans="8:32" ht="12.75">
      <c r="H128" s="230"/>
      <c r="I128" s="231"/>
      <c r="J128" s="231"/>
      <c r="K128" s="231"/>
      <c r="R128" s="235"/>
      <c r="S128" s="234"/>
      <c r="T128" s="235"/>
      <c r="U128" s="235"/>
      <c r="V128" s="235"/>
      <c r="X128" s="230"/>
      <c r="Y128" s="232"/>
      <c r="Z128" s="232"/>
      <c r="AA128" s="232"/>
      <c r="AB128" s="230"/>
      <c r="AD128" s="230"/>
      <c r="AE128" s="232"/>
      <c r="AF128" s="230"/>
    </row>
    <row r="129" spans="8:32" ht="12.75">
      <c r="H129" s="230"/>
      <c r="I129" s="231"/>
      <c r="J129" s="231"/>
      <c r="K129" s="231"/>
      <c r="R129" s="235"/>
      <c r="S129" s="234"/>
      <c r="T129" s="235"/>
      <c r="U129" s="235"/>
      <c r="V129" s="235"/>
      <c r="X129" s="230"/>
      <c r="Y129" s="232"/>
      <c r="Z129" s="232"/>
      <c r="AA129" s="232"/>
      <c r="AB129" s="230"/>
      <c r="AD129" s="230"/>
      <c r="AE129" s="232"/>
      <c r="AF129" s="230"/>
    </row>
    <row r="130" spans="8:32" ht="12.75">
      <c r="H130" s="230"/>
      <c r="I130" s="231"/>
      <c r="J130" s="231"/>
      <c r="K130" s="231"/>
      <c r="R130" s="235"/>
      <c r="S130" s="234"/>
      <c r="T130" s="235"/>
      <c r="U130" s="235"/>
      <c r="V130" s="235"/>
      <c r="X130" s="230"/>
      <c r="Y130" s="232"/>
      <c r="Z130" s="232"/>
      <c r="AA130" s="232"/>
      <c r="AB130" s="230"/>
      <c r="AD130" s="230"/>
      <c r="AE130" s="232"/>
      <c r="AF130" s="230"/>
    </row>
    <row r="131" spans="8:32" ht="12.75">
      <c r="H131" s="230"/>
      <c r="I131" s="231"/>
      <c r="J131" s="231"/>
      <c r="K131" s="231"/>
      <c r="R131" s="235"/>
      <c r="S131" s="234"/>
      <c r="T131" s="235"/>
      <c r="U131" s="235"/>
      <c r="V131" s="235"/>
      <c r="X131" s="230"/>
      <c r="Y131" s="232"/>
      <c r="Z131" s="232"/>
      <c r="AA131" s="232"/>
      <c r="AB131" s="230"/>
      <c r="AD131" s="230"/>
      <c r="AE131" s="232"/>
      <c r="AF131" s="230"/>
    </row>
    <row r="132" spans="8:32" ht="12.75">
      <c r="H132" s="230"/>
      <c r="I132" s="231"/>
      <c r="J132" s="231"/>
      <c r="K132" s="231"/>
      <c r="R132" s="235"/>
      <c r="S132" s="234"/>
      <c r="T132" s="235"/>
      <c r="U132" s="235"/>
      <c r="V132" s="235"/>
      <c r="X132" s="230"/>
      <c r="Y132" s="232"/>
      <c r="Z132" s="232"/>
      <c r="AA132" s="232"/>
      <c r="AB132" s="230"/>
      <c r="AD132" s="230"/>
      <c r="AE132" s="232"/>
      <c r="AF132" s="230"/>
    </row>
    <row r="133" spans="8:32" ht="12.75">
      <c r="H133" s="230"/>
      <c r="I133" s="231"/>
      <c r="J133" s="231"/>
      <c r="K133" s="231"/>
      <c r="R133" s="235"/>
      <c r="S133" s="234"/>
      <c r="T133" s="235"/>
      <c r="U133" s="235"/>
      <c r="V133" s="235"/>
      <c r="X133" s="230"/>
      <c r="Y133" s="232"/>
      <c r="Z133" s="232"/>
      <c r="AA133" s="232"/>
      <c r="AB133" s="230"/>
      <c r="AD133" s="230"/>
      <c r="AE133" s="232"/>
      <c r="AF133" s="230"/>
    </row>
    <row r="134" spans="8:32" ht="12.75">
      <c r="H134" s="230"/>
      <c r="I134" s="231"/>
      <c r="J134" s="231"/>
      <c r="K134" s="231"/>
      <c r="R134" s="235"/>
      <c r="S134" s="234"/>
      <c r="T134" s="235"/>
      <c r="U134" s="235"/>
      <c r="V134" s="235"/>
      <c r="X134" s="230"/>
      <c r="Y134" s="232"/>
      <c r="Z134" s="232"/>
      <c r="AA134" s="232"/>
      <c r="AB134" s="230"/>
      <c r="AD134" s="230"/>
      <c r="AE134" s="232"/>
      <c r="AF134" s="230"/>
    </row>
    <row r="135" spans="8:32" ht="12.75">
      <c r="H135" s="230"/>
      <c r="I135" s="231"/>
      <c r="J135" s="231"/>
      <c r="K135" s="231"/>
      <c r="R135" s="235"/>
      <c r="S135" s="234"/>
      <c r="T135" s="235"/>
      <c r="U135" s="235"/>
      <c r="V135" s="235"/>
      <c r="X135" s="230"/>
      <c r="Y135" s="232"/>
      <c r="Z135" s="232"/>
      <c r="AA135" s="232"/>
      <c r="AB135" s="230"/>
      <c r="AD135" s="230"/>
      <c r="AE135" s="232"/>
      <c r="AF135" s="230"/>
    </row>
    <row r="136" spans="8:32" ht="12.75">
      <c r="H136" s="230"/>
      <c r="I136" s="231"/>
      <c r="J136" s="231"/>
      <c r="K136" s="231"/>
      <c r="R136" s="235"/>
      <c r="S136" s="234"/>
      <c r="T136" s="235"/>
      <c r="U136" s="235"/>
      <c r="V136" s="235"/>
      <c r="X136" s="230"/>
      <c r="Y136" s="232"/>
      <c r="Z136" s="232"/>
      <c r="AA136" s="232"/>
      <c r="AB136" s="230"/>
      <c r="AD136" s="230"/>
      <c r="AE136" s="232"/>
      <c r="AF136" s="230"/>
    </row>
    <row r="137" spans="8:32" ht="12.75">
      <c r="H137" s="230"/>
      <c r="I137" s="231"/>
      <c r="J137" s="231"/>
      <c r="K137" s="231"/>
      <c r="R137" s="235"/>
      <c r="S137" s="234"/>
      <c r="T137" s="235"/>
      <c r="U137" s="235"/>
      <c r="V137" s="235"/>
      <c r="X137" s="230"/>
      <c r="Y137" s="232"/>
      <c r="Z137" s="232"/>
      <c r="AA137" s="232"/>
      <c r="AB137" s="230"/>
      <c r="AD137" s="230"/>
      <c r="AE137" s="232"/>
      <c r="AF137" s="230"/>
    </row>
    <row r="138" spans="8:32" ht="12.75">
      <c r="H138" s="230"/>
      <c r="I138" s="231"/>
      <c r="J138" s="231"/>
      <c r="K138" s="231"/>
      <c r="R138" s="235"/>
      <c r="S138" s="234"/>
      <c r="T138" s="235"/>
      <c r="U138" s="235"/>
      <c r="V138" s="235"/>
      <c r="X138" s="230"/>
      <c r="Y138" s="232"/>
      <c r="Z138" s="232"/>
      <c r="AA138" s="232"/>
      <c r="AB138" s="230"/>
      <c r="AD138" s="230"/>
      <c r="AE138" s="232"/>
      <c r="AF138" s="230"/>
    </row>
    <row r="139" spans="8:32" ht="12.75">
      <c r="H139" s="230"/>
      <c r="I139" s="231"/>
      <c r="J139" s="231"/>
      <c r="K139" s="231"/>
      <c r="R139" s="235"/>
      <c r="S139" s="234"/>
      <c r="T139" s="235"/>
      <c r="U139" s="235"/>
      <c r="V139" s="235"/>
      <c r="X139" s="230"/>
      <c r="Y139" s="232"/>
      <c r="Z139" s="232"/>
      <c r="AA139" s="232"/>
      <c r="AB139" s="230"/>
      <c r="AD139" s="230"/>
      <c r="AE139" s="232"/>
      <c r="AF139" s="230"/>
    </row>
    <row r="140" spans="8:32" ht="12.75">
      <c r="H140" s="230"/>
      <c r="I140" s="231"/>
      <c r="J140" s="231"/>
      <c r="K140" s="231"/>
      <c r="R140" s="235"/>
      <c r="S140" s="234"/>
      <c r="T140" s="235"/>
      <c r="U140" s="235"/>
      <c r="V140" s="235"/>
      <c r="X140" s="230"/>
      <c r="Y140" s="232"/>
      <c r="Z140" s="232"/>
      <c r="AA140" s="232"/>
      <c r="AB140" s="230"/>
      <c r="AD140" s="230"/>
      <c r="AE140" s="232"/>
      <c r="AF140" s="230"/>
    </row>
    <row r="141" spans="8:32" ht="12.75">
      <c r="H141" s="230"/>
      <c r="I141" s="231"/>
      <c r="J141" s="231"/>
      <c r="K141" s="231"/>
      <c r="R141" s="235"/>
      <c r="S141" s="234"/>
      <c r="T141" s="235"/>
      <c r="U141" s="235"/>
      <c r="V141" s="235"/>
      <c r="X141" s="230"/>
      <c r="Y141" s="232"/>
      <c r="Z141" s="232"/>
      <c r="AA141" s="232"/>
      <c r="AB141" s="230"/>
      <c r="AD141" s="230"/>
      <c r="AE141" s="232"/>
      <c r="AF141" s="230"/>
    </row>
    <row r="142" spans="8:32" ht="12.75">
      <c r="H142" s="230"/>
      <c r="I142" s="231"/>
      <c r="J142" s="231"/>
      <c r="K142" s="231"/>
      <c r="R142" s="235"/>
      <c r="S142" s="234"/>
      <c r="T142" s="235"/>
      <c r="U142" s="235"/>
      <c r="V142" s="235"/>
      <c r="X142" s="230"/>
      <c r="Y142" s="232"/>
      <c r="Z142" s="232"/>
      <c r="AA142" s="232"/>
      <c r="AB142" s="230"/>
      <c r="AD142" s="230"/>
      <c r="AE142" s="232"/>
      <c r="AF142" s="230"/>
    </row>
    <row r="143" spans="8:32" ht="12.75">
      <c r="H143" s="230"/>
      <c r="I143" s="231"/>
      <c r="J143" s="231"/>
      <c r="K143" s="231"/>
      <c r="R143" s="235"/>
      <c r="S143" s="234"/>
      <c r="T143" s="235"/>
      <c r="U143" s="235"/>
      <c r="V143" s="235"/>
      <c r="X143" s="230"/>
      <c r="Y143" s="232"/>
      <c r="Z143" s="232"/>
      <c r="AA143" s="232"/>
      <c r="AB143" s="230"/>
      <c r="AD143" s="230"/>
      <c r="AE143" s="232"/>
      <c r="AF143" s="230"/>
    </row>
    <row r="144" spans="8:32" ht="12.75">
      <c r="H144" s="230"/>
      <c r="I144" s="231"/>
      <c r="J144" s="231"/>
      <c r="K144" s="231"/>
      <c r="R144" s="235"/>
      <c r="S144" s="234"/>
      <c r="T144" s="235"/>
      <c r="U144" s="235"/>
      <c r="V144" s="235"/>
      <c r="X144" s="230"/>
      <c r="Y144" s="232"/>
      <c r="Z144" s="232"/>
      <c r="AA144" s="232"/>
      <c r="AB144" s="230"/>
      <c r="AD144" s="230"/>
      <c r="AE144" s="232"/>
      <c r="AF144" s="230"/>
    </row>
    <row r="145" spans="8:32" ht="12.75">
      <c r="H145" s="230"/>
      <c r="I145" s="231"/>
      <c r="J145" s="231"/>
      <c r="K145" s="231"/>
      <c r="R145" s="235"/>
      <c r="S145" s="234"/>
      <c r="T145" s="235"/>
      <c r="U145" s="235"/>
      <c r="V145" s="235"/>
      <c r="X145" s="230"/>
      <c r="Y145" s="232"/>
      <c r="Z145" s="232"/>
      <c r="AA145" s="232"/>
      <c r="AB145" s="230"/>
      <c r="AD145" s="230"/>
      <c r="AE145" s="232"/>
      <c r="AF145" s="230"/>
    </row>
    <row r="146" spans="8:32" ht="12.75">
      <c r="H146" s="230"/>
      <c r="I146" s="231"/>
      <c r="J146" s="231"/>
      <c r="K146" s="231"/>
      <c r="R146" s="235"/>
      <c r="S146" s="234"/>
      <c r="T146" s="235"/>
      <c r="U146" s="235"/>
      <c r="V146" s="235"/>
      <c r="X146" s="230"/>
      <c r="Y146" s="232"/>
      <c r="Z146" s="232"/>
      <c r="AA146" s="232"/>
      <c r="AB146" s="230"/>
      <c r="AD146" s="230"/>
      <c r="AE146" s="232"/>
      <c r="AF146" s="230"/>
    </row>
    <row r="147" spans="8:32" ht="12.75">
      <c r="H147" s="230"/>
      <c r="I147" s="231"/>
      <c r="J147" s="231"/>
      <c r="K147" s="231"/>
      <c r="R147" s="235"/>
      <c r="S147" s="234"/>
      <c r="T147" s="235"/>
      <c r="U147" s="235"/>
      <c r="V147" s="235"/>
      <c r="X147" s="230"/>
      <c r="Y147" s="232"/>
      <c r="Z147" s="232"/>
      <c r="AA147" s="232"/>
      <c r="AB147" s="230"/>
      <c r="AD147" s="230"/>
      <c r="AE147" s="232"/>
      <c r="AF147" s="230"/>
    </row>
    <row r="148" spans="8:32" ht="12.75">
      <c r="H148" s="230"/>
      <c r="I148" s="231"/>
      <c r="J148" s="231"/>
      <c r="K148" s="231"/>
      <c r="R148" s="235"/>
      <c r="S148" s="234"/>
      <c r="T148" s="235"/>
      <c r="U148" s="235"/>
      <c r="V148" s="235"/>
      <c r="X148" s="230"/>
      <c r="Y148" s="232"/>
      <c r="Z148" s="232"/>
      <c r="AA148" s="232"/>
      <c r="AB148" s="230"/>
      <c r="AD148" s="230"/>
      <c r="AE148" s="232"/>
      <c r="AF148" s="230"/>
    </row>
    <row r="149" spans="8:32" ht="12.75">
      <c r="H149" s="230"/>
      <c r="I149" s="231"/>
      <c r="J149" s="231"/>
      <c r="K149" s="231"/>
      <c r="R149" s="235"/>
      <c r="S149" s="234"/>
      <c r="T149" s="235"/>
      <c r="U149" s="235"/>
      <c r="V149" s="235"/>
      <c r="X149" s="230"/>
      <c r="Y149" s="232"/>
      <c r="Z149" s="232"/>
      <c r="AA149" s="232"/>
      <c r="AB149" s="230"/>
      <c r="AD149" s="230"/>
      <c r="AE149" s="232"/>
      <c r="AF149" s="230"/>
    </row>
    <row r="150" spans="8:32" ht="12.75">
      <c r="H150" s="230"/>
      <c r="I150" s="231"/>
      <c r="J150" s="231"/>
      <c r="K150" s="231"/>
      <c r="R150" s="235"/>
      <c r="S150" s="234"/>
      <c r="T150" s="235"/>
      <c r="U150" s="235"/>
      <c r="V150" s="235"/>
      <c r="X150" s="230"/>
      <c r="Y150" s="232"/>
      <c r="Z150" s="232"/>
      <c r="AA150" s="232"/>
      <c r="AB150" s="230"/>
      <c r="AD150" s="230"/>
      <c r="AE150" s="232"/>
      <c r="AF150" s="230"/>
    </row>
    <row r="151" spans="8:17" ht="15">
      <c r="H151" s="72"/>
      <c r="I151" s="236"/>
      <c r="J151" s="236"/>
      <c r="K151" s="236"/>
      <c r="Q151" s="237" t="s">
        <v>563</v>
      </c>
    </row>
    <row r="152" spans="8:11" ht="12.75" customHeight="1">
      <c r="H152" s="72"/>
      <c r="I152" s="236"/>
      <c r="J152" s="236"/>
      <c r="K152" s="236"/>
    </row>
    <row r="153" spans="8:11" ht="12.75" customHeight="1">
      <c r="H153" s="72"/>
      <c r="I153" s="236"/>
      <c r="J153" s="236"/>
      <c r="K153" s="236"/>
    </row>
    <row r="154" spans="8:11" ht="12.75" customHeight="1">
      <c r="H154" s="72"/>
      <c r="I154" s="236"/>
      <c r="J154" s="236"/>
      <c r="K154" s="236"/>
    </row>
    <row r="155" spans="8:11" ht="12.75" customHeight="1">
      <c r="H155" s="72"/>
      <c r="I155" s="236"/>
      <c r="J155" s="236"/>
      <c r="K155" s="236"/>
    </row>
    <row r="156" spans="8:11" ht="12.75">
      <c r="H156" s="72"/>
      <c r="I156" s="236"/>
      <c r="J156" s="236"/>
      <c r="K156" s="236"/>
    </row>
    <row r="157" spans="8:11" ht="12.75">
      <c r="H157" s="72"/>
      <c r="I157" s="236"/>
      <c r="J157" s="236"/>
      <c r="K157" s="236"/>
    </row>
    <row r="158" spans="8:11" ht="12.75">
      <c r="H158" s="72"/>
      <c r="I158" s="236"/>
      <c r="J158" s="236"/>
      <c r="K158" s="236"/>
    </row>
    <row r="159" spans="8:11" ht="12.75">
      <c r="H159" s="72"/>
      <c r="I159" s="236"/>
      <c r="J159" s="236"/>
      <c r="K159" s="236"/>
    </row>
    <row r="160" spans="8:11" ht="12.75">
      <c r="H160" s="72"/>
      <c r="I160" s="236"/>
      <c r="J160" s="236"/>
      <c r="K160" s="236"/>
    </row>
    <row r="161" spans="8:11" ht="12.75">
      <c r="H161" s="72"/>
      <c r="I161" s="236"/>
      <c r="J161" s="236"/>
      <c r="K161" s="236"/>
    </row>
    <row r="162" spans="8:11" ht="12.75">
      <c r="H162" s="72"/>
      <c r="I162" s="236"/>
      <c r="J162" s="236"/>
      <c r="K162" s="236"/>
    </row>
    <row r="163" spans="8:11" ht="12.75">
      <c r="H163" s="72"/>
      <c r="I163" s="236"/>
      <c r="J163" s="236"/>
      <c r="K163" s="236"/>
    </row>
    <row r="164" spans="8:11" ht="12.75">
      <c r="H164" s="72"/>
      <c r="I164" s="236"/>
      <c r="J164" s="236"/>
      <c r="K164" s="236"/>
    </row>
    <row r="165" spans="8:11" ht="12.75">
      <c r="H165" s="72"/>
      <c r="I165" s="236"/>
      <c r="J165" s="236"/>
      <c r="K165" s="236"/>
    </row>
    <row r="166" spans="8:11" ht="12.75">
      <c r="H166" s="72"/>
      <c r="I166" s="236"/>
      <c r="J166" s="236"/>
      <c r="K166" s="236"/>
    </row>
    <row r="167" spans="8:11" ht="12.75">
      <c r="H167" s="72"/>
      <c r="I167" s="236"/>
      <c r="J167" s="236"/>
      <c r="K167" s="236"/>
    </row>
    <row r="168" spans="8:11" ht="12.75">
      <c r="H168" s="72"/>
      <c r="I168" s="236"/>
      <c r="J168" s="236"/>
      <c r="K168" s="236"/>
    </row>
    <row r="169" spans="8:11" ht="12.75">
      <c r="H169" s="72"/>
      <c r="I169" s="236"/>
      <c r="J169" s="236"/>
      <c r="K169" s="236"/>
    </row>
    <row r="170" spans="8:11" ht="12.75">
      <c r="H170" s="72"/>
      <c r="I170" s="236"/>
      <c r="J170" s="236"/>
      <c r="K170" s="236"/>
    </row>
    <row r="171" spans="8:11" ht="12.75">
      <c r="H171" s="72"/>
      <c r="I171" s="236"/>
      <c r="J171" s="236"/>
      <c r="K171" s="236"/>
    </row>
    <row r="172" spans="8:11" ht="12.75">
      <c r="H172" s="72"/>
      <c r="I172" s="236"/>
      <c r="J172" s="236"/>
      <c r="K172" s="236"/>
    </row>
    <row r="173" spans="8:11" ht="12.75">
      <c r="H173" s="72"/>
      <c r="I173" s="236"/>
      <c r="J173" s="236"/>
      <c r="K173" s="236"/>
    </row>
    <row r="174" spans="8:11" ht="12.75">
      <c r="H174" s="72"/>
      <c r="I174" s="236"/>
      <c r="J174" s="236"/>
      <c r="K174" s="236"/>
    </row>
    <row r="175" spans="8:11" ht="12.75">
      <c r="H175" s="72"/>
      <c r="I175" s="236"/>
      <c r="J175" s="236"/>
      <c r="K175" s="236"/>
    </row>
    <row r="176" spans="8:11" ht="12.75">
      <c r="H176" s="72"/>
      <c r="I176" s="236"/>
      <c r="J176" s="236"/>
      <c r="K176" s="236"/>
    </row>
    <row r="177" spans="8:11" ht="12.75">
      <c r="H177" s="72"/>
      <c r="I177" s="236"/>
      <c r="J177" s="236"/>
      <c r="K177" s="236"/>
    </row>
    <row r="178" spans="8:11" ht="12.75">
      <c r="H178" s="72"/>
      <c r="I178" s="236"/>
      <c r="J178" s="236"/>
      <c r="K178" s="236"/>
    </row>
    <row r="179" spans="8:11" ht="12.75">
      <c r="H179" s="72"/>
      <c r="I179" s="236"/>
      <c r="J179" s="236"/>
      <c r="K179" s="236"/>
    </row>
    <row r="180" spans="8:11" ht="12.75">
      <c r="H180" s="72"/>
      <c r="I180" s="236"/>
      <c r="J180" s="236"/>
      <c r="K180" s="236"/>
    </row>
    <row r="181" spans="8:11" ht="12.75">
      <c r="H181" s="72"/>
      <c r="I181" s="236"/>
      <c r="J181" s="236"/>
      <c r="K181" s="236"/>
    </row>
    <row r="182" spans="8:11" ht="12.75">
      <c r="H182" s="72"/>
      <c r="I182" s="236"/>
      <c r="J182" s="236"/>
      <c r="K182" s="236"/>
    </row>
    <row r="183" spans="8:11" ht="12.75">
      <c r="H183" s="72"/>
      <c r="I183" s="236"/>
      <c r="J183" s="236"/>
      <c r="K183" s="236"/>
    </row>
    <row r="184" spans="8:11" ht="12.75">
      <c r="H184" s="72"/>
      <c r="I184" s="236"/>
      <c r="J184" s="236"/>
      <c r="K184" s="236"/>
    </row>
    <row r="185" spans="8:11" ht="12.75">
      <c r="H185" s="72"/>
      <c r="I185" s="236"/>
      <c r="J185" s="236"/>
      <c r="K185" s="236"/>
    </row>
    <row r="186" spans="8:11" ht="12.75">
      <c r="H186" s="72"/>
      <c r="I186" s="236"/>
      <c r="J186" s="236"/>
      <c r="K186" s="236"/>
    </row>
    <row r="187" spans="8:11" ht="12.75">
      <c r="H187" s="72"/>
      <c r="I187" s="236"/>
      <c r="J187" s="236"/>
      <c r="K187" s="236"/>
    </row>
    <row r="188" spans="8:11" ht="12.75">
      <c r="H188" s="72"/>
      <c r="I188" s="236"/>
      <c r="J188" s="236"/>
      <c r="K188" s="236"/>
    </row>
    <row r="189" spans="8:11" ht="12.75">
      <c r="H189" s="72"/>
      <c r="I189" s="236"/>
      <c r="J189" s="236"/>
      <c r="K189" s="236"/>
    </row>
    <row r="190" spans="8:11" ht="12.75">
      <c r="H190" s="72"/>
      <c r="I190" s="236"/>
      <c r="J190" s="236"/>
      <c r="K190" s="236"/>
    </row>
    <row r="191" spans="8:11" ht="12.75">
      <c r="H191" s="72"/>
      <c r="I191" s="236"/>
      <c r="J191" s="236"/>
      <c r="K191" s="236"/>
    </row>
    <row r="192" spans="8:11" ht="12.75">
      <c r="H192" s="72"/>
      <c r="I192" s="236"/>
      <c r="J192" s="236"/>
      <c r="K192" s="236"/>
    </row>
    <row r="193" spans="8:11" ht="12.75">
      <c r="H193" s="72"/>
      <c r="I193" s="236"/>
      <c r="J193" s="236"/>
      <c r="K193" s="236"/>
    </row>
    <row r="194" spans="8:11" ht="12.75">
      <c r="H194" s="72"/>
      <c r="I194" s="236"/>
      <c r="J194" s="236"/>
      <c r="K194" s="236"/>
    </row>
    <row r="195" spans="8:11" ht="12.75">
      <c r="H195" s="72"/>
      <c r="I195" s="236"/>
      <c r="J195" s="236"/>
      <c r="K195" s="236"/>
    </row>
    <row r="196" spans="8:11" ht="12.75">
      <c r="H196" s="72"/>
      <c r="I196" s="236"/>
      <c r="J196" s="236"/>
      <c r="K196" s="236"/>
    </row>
    <row r="197" spans="8:11" ht="12.75">
      <c r="H197" s="72"/>
      <c r="I197" s="236"/>
      <c r="J197" s="236"/>
      <c r="K197" s="236"/>
    </row>
    <row r="198" spans="8:11" ht="12.75">
      <c r="H198" s="72"/>
      <c r="I198" s="236"/>
      <c r="J198" s="236"/>
      <c r="K198" s="236"/>
    </row>
    <row r="199" spans="8:11" ht="12.75">
      <c r="H199" s="72"/>
      <c r="I199" s="236"/>
      <c r="J199" s="236"/>
      <c r="K199" s="236"/>
    </row>
    <row r="200" spans="8:11" ht="12.75">
      <c r="H200" s="72"/>
      <c r="I200" s="236"/>
      <c r="J200" s="236"/>
      <c r="K200" s="236"/>
    </row>
    <row r="201" spans="8:11" ht="12.75">
      <c r="H201" s="72"/>
      <c r="I201" s="236"/>
      <c r="J201" s="236"/>
      <c r="K201" s="236"/>
    </row>
    <row r="202" spans="8:11" ht="12.75">
      <c r="H202" s="72"/>
      <c r="I202" s="236"/>
      <c r="J202" s="236"/>
      <c r="K202" s="236"/>
    </row>
    <row r="203" spans="8:11" ht="12.75">
      <c r="H203" s="72"/>
      <c r="I203" s="236"/>
      <c r="J203" s="236"/>
      <c r="K203" s="236"/>
    </row>
    <row r="204" spans="8:11" ht="12.75">
      <c r="H204" s="72"/>
      <c r="I204" s="236"/>
      <c r="J204" s="236"/>
      <c r="K204" s="236"/>
    </row>
    <row r="205" spans="8:11" ht="12.75">
      <c r="H205" s="72"/>
      <c r="I205" s="236"/>
      <c r="J205" s="236"/>
      <c r="K205" s="236"/>
    </row>
    <row r="206" spans="8:11" ht="12.75">
      <c r="H206" s="72"/>
      <c r="I206" s="236"/>
      <c r="J206" s="236"/>
      <c r="K206" s="236"/>
    </row>
    <row r="207" spans="8:11" ht="12.75">
      <c r="H207" s="72"/>
      <c r="I207" s="236"/>
      <c r="J207" s="236"/>
      <c r="K207" s="236"/>
    </row>
    <row r="208" spans="8:11" ht="12.75">
      <c r="H208" s="72"/>
      <c r="I208" s="236"/>
      <c r="J208" s="236"/>
      <c r="K208" s="236"/>
    </row>
    <row r="209" spans="8:11" ht="12.75">
      <c r="H209" s="72"/>
      <c r="I209" s="236"/>
      <c r="J209" s="236"/>
      <c r="K209" s="236"/>
    </row>
    <row r="210" spans="8:11" ht="12.75">
      <c r="H210" s="72"/>
      <c r="I210" s="236"/>
      <c r="J210" s="236"/>
      <c r="K210" s="236"/>
    </row>
    <row r="211" spans="8:11" ht="12.75">
      <c r="H211" s="72"/>
      <c r="I211" s="236"/>
      <c r="J211" s="236"/>
      <c r="K211" s="236"/>
    </row>
    <row r="212" spans="8:11" ht="12.75">
      <c r="H212" s="72"/>
      <c r="I212" s="236"/>
      <c r="J212" s="236"/>
      <c r="K212" s="236"/>
    </row>
    <row r="213" spans="8:11" ht="12.75">
      <c r="H213" s="72"/>
      <c r="I213" s="236"/>
      <c r="J213" s="236"/>
      <c r="K213" s="236"/>
    </row>
    <row r="214" spans="8:11" ht="12.75">
      <c r="H214" s="72"/>
      <c r="I214" s="236"/>
      <c r="J214" s="236"/>
      <c r="K214" s="236"/>
    </row>
    <row r="215" spans="8:11" ht="12.75">
      <c r="H215" s="72"/>
      <c r="I215" s="236"/>
      <c r="J215" s="236"/>
      <c r="K215" s="236"/>
    </row>
    <row r="216" spans="8:11" ht="12.75">
      <c r="H216" s="72"/>
      <c r="I216" s="236"/>
      <c r="J216" s="236"/>
      <c r="K216" s="236"/>
    </row>
    <row r="217" spans="8:11" ht="12.75">
      <c r="H217" s="72"/>
      <c r="I217" s="236"/>
      <c r="J217" s="236"/>
      <c r="K217" s="236"/>
    </row>
    <row r="218" spans="8:11" ht="12.75">
      <c r="H218" s="72"/>
      <c r="I218" s="236"/>
      <c r="J218" s="236"/>
      <c r="K218" s="236"/>
    </row>
    <row r="219" spans="8:11" ht="12.75">
      <c r="H219" s="72"/>
      <c r="I219" s="236"/>
      <c r="J219" s="236"/>
      <c r="K219" s="236"/>
    </row>
    <row r="220" spans="8:11" ht="12.75">
      <c r="H220" s="72"/>
      <c r="I220" s="236"/>
      <c r="J220" s="236"/>
      <c r="K220" s="236"/>
    </row>
    <row r="221" spans="8:11" ht="12.75">
      <c r="H221" s="72"/>
      <c r="I221" s="236"/>
      <c r="J221" s="236"/>
      <c r="K221" s="236"/>
    </row>
    <row r="222" spans="8:11" ht="12.75">
      <c r="H222" s="72"/>
      <c r="I222" s="236"/>
      <c r="J222" s="236"/>
      <c r="K222" s="236"/>
    </row>
    <row r="223" spans="8:11" ht="12.75">
      <c r="H223" s="72"/>
      <c r="I223" s="236"/>
      <c r="J223" s="236"/>
      <c r="K223" s="236"/>
    </row>
    <row r="224" spans="8:11" ht="12.75">
      <c r="H224" s="72"/>
      <c r="I224" s="236"/>
      <c r="J224" s="236"/>
      <c r="K224" s="236"/>
    </row>
    <row r="225" spans="8:11" ht="12.75">
      <c r="H225" s="72"/>
      <c r="I225" s="236"/>
      <c r="J225" s="236"/>
      <c r="K225" s="236"/>
    </row>
    <row r="226" spans="8:11" ht="12.75">
      <c r="H226" s="72"/>
      <c r="I226" s="236"/>
      <c r="J226" s="236"/>
      <c r="K226" s="236"/>
    </row>
    <row r="227" spans="8:11" ht="12.75">
      <c r="H227" s="72"/>
      <c r="I227" s="236"/>
      <c r="J227" s="236"/>
      <c r="K227" s="236"/>
    </row>
    <row r="228" spans="8:11" ht="12.75">
      <c r="H228" s="72"/>
      <c r="I228" s="236"/>
      <c r="J228" s="236"/>
      <c r="K228" s="236"/>
    </row>
    <row r="229" spans="8:11" ht="12.75">
      <c r="H229" s="72"/>
      <c r="I229" s="236"/>
      <c r="J229" s="236"/>
      <c r="K229" s="236"/>
    </row>
    <row r="230" spans="8:11" ht="12.75">
      <c r="H230" s="72"/>
      <c r="I230" s="236"/>
      <c r="J230" s="236"/>
      <c r="K230" s="236"/>
    </row>
    <row r="231" spans="8:11" ht="12.75">
      <c r="H231" s="72"/>
      <c r="I231" s="236"/>
      <c r="J231" s="236"/>
      <c r="K231" s="236"/>
    </row>
    <row r="232" spans="8:11" ht="12.75">
      <c r="H232" s="72"/>
      <c r="I232" s="236"/>
      <c r="J232" s="236"/>
      <c r="K232" s="236"/>
    </row>
    <row r="233" spans="8:11" ht="12.75">
      <c r="H233" s="72"/>
      <c r="I233" s="236"/>
      <c r="J233" s="236"/>
      <c r="K233" s="236"/>
    </row>
    <row r="234" spans="8:11" ht="12.75">
      <c r="H234" s="72"/>
      <c r="I234" s="236"/>
      <c r="J234" s="236"/>
      <c r="K234" s="236"/>
    </row>
    <row r="235" spans="8:11" ht="12.75">
      <c r="H235" s="72"/>
      <c r="I235" s="236"/>
      <c r="J235" s="236"/>
      <c r="K235" s="236"/>
    </row>
    <row r="236" spans="8:11" ht="12.75">
      <c r="H236" s="72"/>
      <c r="I236" s="236"/>
      <c r="J236" s="236"/>
      <c r="K236" s="236"/>
    </row>
    <row r="237" spans="8:11" ht="12.75">
      <c r="H237" s="72"/>
      <c r="I237" s="236"/>
      <c r="J237" s="236"/>
      <c r="K237" s="236"/>
    </row>
    <row r="238" spans="8:11" ht="12.75">
      <c r="H238" s="72"/>
      <c r="I238" s="236"/>
      <c r="J238" s="236"/>
      <c r="K238" s="236"/>
    </row>
    <row r="239" spans="8:11" ht="12.75">
      <c r="H239" s="72"/>
      <c r="I239" s="236"/>
      <c r="J239" s="236"/>
      <c r="K239" s="236"/>
    </row>
    <row r="240" spans="8:11" ht="12.75">
      <c r="H240" s="72"/>
      <c r="I240" s="236"/>
      <c r="J240" s="236"/>
      <c r="K240" s="236"/>
    </row>
    <row r="241" spans="8:11" ht="12.75">
      <c r="H241" s="72"/>
      <c r="I241" s="236"/>
      <c r="J241" s="236"/>
      <c r="K241" s="236"/>
    </row>
    <row r="242" spans="8:11" ht="12.75">
      <c r="H242" s="72"/>
      <c r="I242" s="236"/>
      <c r="J242" s="236"/>
      <c r="K242" s="236"/>
    </row>
    <row r="243" spans="8:11" ht="12.75">
      <c r="H243" s="72"/>
      <c r="I243" s="236"/>
      <c r="J243" s="236"/>
      <c r="K243" s="236"/>
    </row>
    <row r="244" spans="8:11" ht="12.75">
      <c r="H244" s="72"/>
      <c r="I244" s="236"/>
      <c r="J244" s="236"/>
      <c r="K244" s="236"/>
    </row>
    <row r="245" spans="8:11" ht="12.75">
      <c r="H245" s="72"/>
      <c r="I245" s="236"/>
      <c r="J245" s="236"/>
      <c r="K245" s="236"/>
    </row>
    <row r="246" spans="8:11" ht="12.75">
      <c r="H246" s="72"/>
      <c r="I246" s="236"/>
      <c r="J246" s="236"/>
      <c r="K246" s="236"/>
    </row>
    <row r="247" spans="8:11" ht="12.75">
      <c r="H247" s="72"/>
      <c r="I247" s="236"/>
      <c r="J247" s="236"/>
      <c r="K247" s="236"/>
    </row>
    <row r="248" spans="8:11" ht="12.75">
      <c r="H248" s="72"/>
      <c r="I248" s="236"/>
      <c r="J248" s="236"/>
      <c r="K248" s="236"/>
    </row>
    <row r="249" spans="8:11" ht="12.75">
      <c r="H249" s="72"/>
      <c r="I249" s="236"/>
      <c r="J249" s="236"/>
      <c r="K249" s="236"/>
    </row>
    <row r="250" spans="8:11" ht="12.75">
      <c r="H250" s="72"/>
      <c r="I250" s="236"/>
      <c r="J250" s="236"/>
      <c r="K250" s="236"/>
    </row>
    <row r="251" spans="8:11" ht="12.75">
      <c r="H251" s="72"/>
      <c r="I251" s="236"/>
      <c r="J251" s="236"/>
      <c r="K251" s="236"/>
    </row>
    <row r="252" spans="8:11" ht="12.75">
      <c r="H252" s="72"/>
      <c r="I252" s="236"/>
      <c r="J252" s="236"/>
      <c r="K252" s="236"/>
    </row>
    <row r="253" spans="8:11" ht="12.75">
      <c r="H253" s="72"/>
      <c r="I253" s="236"/>
      <c r="J253" s="236"/>
      <c r="K253" s="236"/>
    </row>
    <row r="254" spans="8:11" ht="12.75">
      <c r="H254" s="72"/>
      <c r="I254" s="236"/>
      <c r="J254" s="236"/>
      <c r="K254" s="236"/>
    </row>
    <row r="255" spans="8:11" ht="12.75">
      <c r="H255" s="72"/>
      <c r="I255" s="236"/>
      <c r="J255" s="236"/>
      <c r="K255" s="236"/>
    </row>
    <row r="256" spans="8:11" ht="12.75">
      <c r="H256" s="72"/>
      <c r="I256" s="236"/>
      <c r="J256" s="236"/>
      <c r="K256" s="236"/>
    </row>
    <row r="257" spans="8:11" ht="12.75">
      <c r="H257" s="72"/>
      <c r="I257" s="236"/>
      <c r="J257" s="236"/>
      <c r="K257" s="236"/>
    </row>
    <row r="258" spans="8:11" ht="12.75">
      <c r="H258" s="72"/>
      <c r="I258" s="236"/>
      <c r="J258" s="236"/>
      <c r="K258" s="236"/>
    </row>
    <row r="259" spans="8:11" ht="12.75">
      <c r="H259" s="72"/>
      <c r="I259" s="236"/>
      <c r="J259" s="236"/>
      <c r="K259" s="236"/>
    </row>
    <row r="260" spans="8:11" ht="12.75">
      <c r="H260" s="72"/>
      <c r="I260" s="236"/>
      <c r="J260" s="236"/>
      <c r="K260" s="236"/>
    </row>
    <row r="261" spans="8:11" ht="12.75">
      <c r="H261" s="72"/>
      <c r="I261" s="236"/>
      <c r="J261" s="236"/>
      <c r="K261" s="236"/>
    </row>
    <row r="262" spans="8:11" ht="12.75">
      <c r="H262" s="72"/>
      <c r="I262" s="236"/>
      <c r="J262" s="236"/>
      <c r="K262" s="236"/>
    </row>
    <row r="263" spans="8:11" ht="12.75">
      <c r="H263" s="72"/>
      <c r="I263" s="236"/>
      <c r="J263" s="236"/>
      <c r="K263" s="236"/>
    </row>
    <row r="264" spans="8:11" ht="12.75">
      <c r="H264" s="72"/>
      <c r="I264" s="236"/>
      <c r="J264" s="236"/>
      <c r="K264" s="236"/>
    </row>
    <row r="265" spans="8:11" ht="12.75">
      <c r="H265" s="72"/>
      <c r="I265" s="236"/>
      <c r="J265" s="236"/>
      <c r="K265" s="236"/>
    </row>
    <row r="266" spans="8:11" ht="12.75">
      <c r="H266" s="72"/>
      <c r="I266" s="236"/>
      <c r="J266" s="236"/>
      <c r="K266" s="236"/>
    </row>
    <row r="267" spans="8:11" ht="12.75">
      <c r="H267" s="72"/>
      <c r="I267" s="236"/>
      <c r="J267" s="236"/>
      <c r="K267" s="236"/>
    </row>
    <row r="268" spans="8:11" ht="12.75">
      <c r="H268" s="72"/>
      <c r="I268" s="236"/>
      <c r="J268" s="236"/>
      <c r="K268" s="236"/>
    </row>
    <row r="269" spans="8:11" ht="12.75">
      <c r="H269" s="72"/>
      <c r="I269" s="236"/>
      <c r="J269" s="236"/>
      <c r="K269" s="236"/>
    </row>
    <row r="270" spans="8:11" ht="12.75">
      <c r="H270" s="72"/>
      <c r="I270" s="236"/>
      <c r="J270" s="236"/>
      <c r="K270" s="236"/>
    </row>
    <row r="271" spans="8:11" ht="12.75">
      <c r="H271" s="72"/>
      <c r="I271" s="236"/>
      <c r="J271" s="236"/>
      <c r="K271" s="236"/>
    </row>
    <row r="272" spans="8:11" ht="12.75">
      <c r="H272" s="72"/>
      <c r="I272" s="236"/>
      <c r="J272" s="236"/>
      <c r="K272" s="236"/>
    </row>
    <row r="273" spans="8:11" ht="12.75">
      <c r="H273" s="72"/>
      <c r="I273" s="236"/>
      <c r="J273" s="236"/>
      <c r="K273" s="236"/>
    </row>
    <row r="274" spans="8:11" ht="12.75">
      <c r="H274" s="72"/>
      <c r="I274" s="236"/>
      <c r="J274" s="236"/>
      <c r="K274" s="236"/>
    </row>
    <row r="275" spans="8:11" ht="12.75">
      <c r="H275" s="72"/>
      <c r="I275" s="236"/>
      <c r="J275" s="236"/>
      <c r="K275" s="236"/>
    </row>
    <row r="276" spans="8:11" ht="12.75">
      <c r="H276" s="72"/>
      <c r="I276" s="236"/>
      <c r="J276" s="236"/>
      <c r="K276" s="236"/>
    </row>
    <row r="277" spans="8:11" ht="12.75">
      <c r="H277" s="72"/>
      <c r="I277" s="236"/>
      <c r="J277" s="236"/>
      <c r="K277" s="236"/>
    </row>
    <row r="278" spans="8:11" ht="12.75">
      <c r="H278" s="72"/>
      <c r="I278" s="236"/>
      <c r="J278" s="236"/>
      <c r="K278" s="236"/>
    </row>
    <row r="279" spans="8:11" ht="12.75">
      <c r="H279" s="72"/>
      <c r="I279" s="236"/>
      <c r="J279" s="236"/>
      <c r="K279" s="236"/>
    </row>
  </sheetData>
  <sheetProtection selectLockedCells="1" selectUnlockedCells="1"/>
  <printOptions/>
  <pageMargins left="0.75" right="0.75" top="1" bottom="1"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thuis</dc:creator>
  <cp:keywords/>
  <dc:description/>
  <cp:lastModifiedBy>Unknown User</cp:lastModifiedBy>
  <cp:lastPrinted>2015-09-14T19:31:06Z</cp:lastPrinted>
  <dcterms:created xsi:type="dcterms:W3CDTF">2012-01-16T16:44:29Z</dcterms:created>
  <dcterms:modified xsi:type="dcterms:W3CDTF">2015-12-13T10:00:53Z</dcterms:modified>
  <cp:category/>
  <cp:version/>
  <cp:contentType/>
  <cp:contentStatus/>
</cp:coreProperties>
</file>